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5480" windowHeight="6465"/>
  </bookViews>
  <sheets>
    <sheet name="Exhibit 1" sheetId="4" r:id="rId1"/>
    <sheet name="Exhibit 2" sheetId="5" r:id="rId2"/>
    <sheet name="Exhibit 3" sheetId="8" r:id="rId3"/>
    <sheet name="Exhibit 6" sheetId="6" r:id="rId4"/>
    <sheet name="Exhibit 7" sheetId="9" r:id="rId5"/>
    <sheet name="Exhibit 8" sheetId="16" r:id="rId6"/>
  </sheets>
  <calcPr calcId="125725"/>
  <customWorkbookViews>
    <customWorkbookView name="Mitchell A. Petersen - Personal View" guid="{7F174012-B49F-11D3-9CA8-00C04FB61851}" mergeInterval="0" personalView="1" maximized="1" windowWidth="1211" windowHeight="792" activeSheetId="14"/>
  </customWorkbookViews>
</workbook>
</file>

<file path=xl/calcChain.xml><?xml version="1.0" encoding="utf-8"?>
<calcChain xmlns="http://schemas.openxmlformats.org/spreadsheetml/2006/main">
  <c r="D17" i="4"/>
  <c r="D18"/>
  <c r="D37"/>
  <c r="D38"/>
  <c r="B41"/>
  <c r="C41"/>
  <c r="D41"/>
  <c r="B42"/>
  <c r="C42"/>
  <c r="C46" s="1"/>
  <c r="D42"/>
  <c r="B43"/>
  <c r="C43"/>
  <c r="D43"/>
  <c r="C45"/>
  <c r="D45"/>
  <c r="B46"/>
  <c r="D46"/>
  <c r="B47"/>
  <c r="C47"/>
  <c r="D47"/>
  <c r="B9" i="5"/>
  <c r="C9"/>
  <c r="D9"/>
  <c r="E9"/>
  <c r="F9"/>
  <c r="G9"/>
  <c r="H9"/>
  <c r="B12"/>
  <c r="C12"/>
  <c r="D12"/>
  <c r="E12"/>
  <c r="F12"/>
  <c r="G12"/>
  <c r="H12"/>
  <c r="B13"/>
  <c r="C13"/>
  <c r="D13"/>
  <c r="E13"/>
  <c r="F13"/>
  <c r="G13"/>
  <c r="H13"/>
  <c r="B14"/>
  <c r="C14"/>
  <c r="D14"/>
  <c r="E14"/>
  <c r="F14"/>
  <c r="G14"/>
  <c r="H14"/>
  <c r="C20"/>
  <c r="D20"/>
  <c r="E20"/>
  <c r="F20"/>
  <c r="G20"/>
  <c r="H20"/>
  <c r="C23"/>
  <c r="D23"/>
  <c r="E23"/>
  <c r="F23"/>
  <c r="G23"/>
  <c r="H23"/>
  <c r="C24"/>
  <c r="D24"/>
  <c r="E24"/>
  <c r="F24"/>
  <c r="G24"/>
  <c r="H24"/>
  <c r="C25"/>
  <c r="D25"/>
  <c r="E25"/>
  <c r="F25"/>
  <c r="G25"/>
  <c r="H25"/>
  <c r="D31"/>
  <c r="E31"/>
  <c r="F31"/>
  <c r="G31"/>
  <c r="H31"/>
  <c r="D34"/>
  <c r="E34"/>
  <c r="F34"/>
  <c r="G34"/>
  <c r="H34"/>
  <c r="D35"/>
  <c r="E35"/>
  <c r="F35"/>
  <c r="G35"/>
  <c r="H35"/>
  <c r="D36"/>
  <c r="E36"/>
  <c r="F36"/>
  <c r="G36"/>
  <c r="H36"/>
  <c r="E42"/>
  <c r="F42"/>
  <c r="G42"/>
  <c r="H42"/>
  <c r="E45"/>
  <c r="F45"/>
  <c r="G45"/>
  <c r="H45"/>
  <c r="E46"/>
  <c r="F46"/>
  <c r="G46"/>
  <c r="H46"/>
  <c r="E47"/>
  <c r="F47"/>
  <c r="G47"/>
  <c r="H47"/>
  <c r="F53"/>
  <c r="G53"/>
  <c r="G56" s="1"/>
  <c r="H53"/>
  <c r="F56"/>
  <c r="H56"/>
  <c r="F57"/>
  <c r="G57"/>
  <c r="H57"/>
  <c r="F58"/>
  <c r="G58"/>
  <c r="H58"/>
  <c r="G64"/>
  <c r="G84" s="1"/>
  <c r="H64"/>
  <c r="G67"/>
  <c r="H67"/>
  <c r="G68"/>
  <c r="H68"/>
  <c r="G69"/>
  <c r="H69"/>
  <c r="H75"/>
  <c r="H78" s="1"/>
  <c r="H79"/>
  <c r="B84"/>
  <c r="B86" s="1"/>
  <c r="C84"/>
  <c r="D84"/>
  <c r="D86" s="1"/>
  <c r="E84"/>
  <c r="F84"/>
  <c r="F86" s="1"/>
  <c r="H84"/>
  <c r="H86" s="1"/>
  <c r="C86"/>
  <c r="E86"/>
  <c r="B87"/>
  <c r="C87"/>
  <c r="D87"/>
  <c r="E87"/>
  <c r="F87"/>
  <c r="H87"/>
  <c r="B88"/>
  <c r="C88"/>
  <c r="D88"/>
  <c r="E88"/>
  <c r="F88"/>
  <c r="H88"/>
  <c r="F5" i="8"/>
  <c r="F6"/>
  <c r="F7"/>
  <c r="F8"/>
  <c r="F9"/>
  <c r="F10"/>
  <c r="F11"/>
  <c r="F12"/>
  <c r="F13"/>
  <c r="F14"/>
  <c r="B12" i="6"/>
  <c r="C12"/>
  <c r="D12"/>
  <c r="E12"/>
  <c r="F12"/>
  <c r="H12"/>
  <c r="I12"/>
  <c r="J12"/>
  <c r="B15"/>
  <c r="C15"/>
  <c r="D15"/>
  <c r="E15"/>
  <c r="F15"/>
  <c r="H15"/>
  <c r="I15"/>
  <c r="J15"/>
  <c r="B18"/>
  <c r="C18"/>
  <c r="D18"/>
  <c r="E18"/>
  <c r="F18"/>
  <c r="H18"/>
  <c r="I18"/>
  <c r="J18"/>
  <c r="I15" i="16"/>
  <c r="H15"/>
  <c r="G15"/>
  <c r="F15"/>
  <c r="E15"/>
  <c r="C7"/>
  <c r="D7"/>
  <c r="B9"/>
  <c r="C9"/>
  <c r="D9"/>
  <c r="C10"/>
  <c r="D10"/>
  <c r="C12"/>
  <c r="D12"/>
  <c r="C13"/>
  <c r="D13"/>
  <c r="B17"/>
  <c r="C17"/>
  <c r="D17"/>
  <c r="B19"/>
  <c r="C19"/>
  <c r="D19"/>
  <c r="B21"/>
  <c r="C21"/>
  <c r="D21"/>
  <c r="B22"/>
  <c r="C22"/>
  <c r="C23" s="1"/>
  <c r="D22"/>
  <c r="B23"/>
  <c r="B24" s="1"/>
  <c r="D23"/>
  <c r="D24" s="1"/>
  <c r="C24" l="1"/>
  <c r="C25"/>
  <c r="G86" i="5"/>
  <c r="G88"/>
  <c r="G87"/>
  <c r="D25" i="16"/>
  <c r="H80" i="5"/>
</calcChain>
</file>

<file path=xl/sharedStrings.xml><?xml version="1.0" encoding="utf-8"?>
<sst xmlns="http://schemas.openxmlformats.org/spreadsheetml/2006/main" count="212" uniqueCount="121">
  <si>
    <t xml:space="preserve">    (Numbers in $1000s)</t>
  </si>
  <si>
    <t>WEST TELESERVICES</t>
  </si>
  <si>
    <t>Combined Financial Information</t>
  </si>
  <si>
    <t>(year ending December 31)</t>
  </si>
  <si>
    <t>Property, plant, and equipment</t>
  </si>
  <si>
    <t>Total assets</t>
  </si>
  <si>
    <t>Stockholders' equity</t>
  </si>
  <si>
    <t>Footnotes:</t>
  </si>
  <si>
    <t>Exhibit 1: Operating Performance of Seven Teleservice Firms</t>
  </si>
  <si>
    <t xml:space="preserve">  (values are in dollars)</t>
  </si>
  <si>
    <t>SITEL Corporation</t>
  </si>
  <si>
    <t>Revenues</t>
  </si>
  <si>
    <t>Operating Income</t>
  </si>
  <si>
    <t>Net Income</t>
  </si>
  <si>
    <t>APAC Teleservices, Inc</t>
  </si>
  <si>
    <t>ICT Group, Inc.</t>
  </si>
  <si>
    <t>Teletech Holdings, Inc</t>
  </si>
  <si>
    <t>.</t>
  </si>
  <si>
    <t>Telespectrum Worldwide Inc</t>
  </si>
  <si>
    <t>RMH Teleservices, Inc</t>
  </si>
  <si>
    <t>Precision Response Corporation</t>
  </si>
  <si>
    <t>Seven Firm Total</t>
  </si>
  <si>
    <t>Year/Year Sales Growth</t>
  </si>
  <si>
    <t>Operating Margin</t>
  </si>
  <si>
    <t>Net Margin</t>
  </si>
  <si>
    <t>Exhibit 2: IPO Pricing</t>
  </si>
  <si>
    <t>Company Going Public</t>
  </si>
  <si>
    <t>Sitel</t>
  </si>
  <si>
    <t>APAC</t>
  </si>
  <si>
    <t>ICT</t>
  </si>
  <si>
    <t>TeleTech</t>
  </si>
  <si>
    <t>Telespectrum</t>
  </si>
  <si>
    <t>RMH</t>
  </si>
  <si>
    <t>PRC</t>
  </si>
  <si>
    <t>IPO Date</t>
  </si>
  <si>
    <t>Price</t>
  </si>
  <si>
    <t>Shares Outstanding</t>
  </si>
  <si>
    <t>Market Capitalization</t>
  </si>
  <si>
    <t>Price / Sales</t>
  </si>
  <si>
    <t>Price / Operating Profit</t>
  </si>
  <si>
    <t>Price / Earnings</t>
  </si>
  <si>
    <t>TeleTech Holdings, Inc</t>
  </si>
  <si>
    <t>Telespectrum Worldwide Inc.</t>
  </si>
  <si>
    <t>RMH Teleservices, Inc.</t>
  </si>
  <si>
    <t>Industry (Seven Firm Total)</t>
  </si>
  <si>
    <t>Note: Multiples are versus current-year financial results. Stock prices are closing prices for the day, except for the firm doing an IPO. In this case, the price is the offer price.</t>
  </si>
  <si>
    <t>Shares Issued</t>
  </si>
  <si>
    <t xml:space="preserve">     (in $1000 except where noted)</t>
  </si>
  <si>
    <t>Revenue</t>
  </si>
  <si>
    <t>Cost of services</t>
  </si>
  <si>
    <t>SGA</t>
  </si>
  <si>
    <t>Litigation settlement..</t>
  </si>
  <si>
    <t>Net operating income</t>
  </si>
  <si>
    <t>Net other expense</t>
  </si>
  <si>
    <t xml:space="preserve">Net Income </t>
  </si>
  <si>
    <t>SELECTED OPERATING DATA:</t>
  </si>
  <si>
    <t>Operating margin</t>
  </si>
  <si>
    <t>Number of workstations (end of period)</t>
  </si>
  <si>
    <t>Date</t>
  </si>
  <si>
    <t>Company</t>
  </si>
  <si>
    <t>Dollar Issue</t>
  </si>
  <si>
    <t>TeleSpectrum</t>
  </si>
  <si>
    <t>Revenue Model</t>
  </si>
  <si>
    <t>Total U.S. Teleservices Market</t>
  </si>
  <si>
    <t xml:space="preserve">     Growth rate</t>
  </si>
  <si>
    <t xml:space="preserve">     (1000s of $)</t>
  </si>
  <si>
    <t>Outsourced Teleservice Market</t>
  </si>
  <si>
    <t xml:space="preserve">     Growth Rate</t>
  </si>
  <si>
    <t xml:space="preserve">     Percent of Outsource Market Captured</t>
  </si>
  <si>
    <t xml:space="preserve">     Operating Margin</t>
  </si>
  <si>
    <t xml:space="preserve">    Net Margin</t>
  </si>
  <si>
    <t>Income and Cashflow Model</t>
  </si>
  <si>
    <t xml:space="preserve">Revenue of West Teleservices </t>
  </si>
  <si>
    <t>SITEL Corporation (SITL SWW)</t>
  </si>
  <si>
    <t xml:space="preserve"> (1) Prior to the Reorganization, five of the Company's affiliates were S Corporations that were not subject to federal and certain state corporate income taxes. </t>
  </si>
  <si>
    <t xml:space="preserve">      The income statement data reflects a pro forma provision for income taxes as if the reorganized Company had been subject to federal and state corporate income taxes for all periods. </t>
  </si>
  <si>
    <t xml:space="preserve">      The pro forma provision for income taxes represents a combined federal and state tax rate.</t>
  </si>
  <si>
    <t xml:space="preserve"> (2) A port is a computer's digital interface to a single telephone line for automated voice response call processing.</t>
  </si>
  <si>
    <t>(Nine months ending September 30)</t>
  </si>
  <si>
    <t>1996 Pro-Forma</t>
  </si>
  <si>
    <r>
      <t xml:space="preserve">Net income before tax provision </t>
    </r>
    <r>
      <rPr>
        <sz val="8"/>
        <rFont val="Arial"/>
        <family val="2"/>
      </rPr>
      <t>(1)</t>
    </r>
  </si>
  <si>
    <r>
      <t xml:space="preserve">Provision for income taxes </t>
    </r>
    <r>
      <rPr>
        <sz val="8"/>
        <rFont val="Arial"/>
        <family val="2"/>
      </rPr>
      <t>(1)</t>
    </r>
  </si>
  <si>
    <r>
      <t xml:space="preserve">Number of ports (end of period) </t>
    </r>
    <r>
      <rPr>
        <sz val="8"/>
        <rFont val="Arial"/>
        <family val="2"/>
      </rPr>
      <t>(2)</t>
    </r>
  </si>
  <si>
    <t>Pro Forma (1)</t>
  </si>
  <si>
    <t>Pro Forma (2)</t>
  </si>
  <si>
    <t>Note: Numbers are in thousands</t>
  </si>
  <si>
    <t>Total debt</t>
  </si>
  <si>
    <t xml:space="preserve"> (1) Adjusted to give effect to the Reorganization and Termination of S Corporation Status.</t>
  </si>
  <si>
    <t xml:space="preserve">      and the net deferred income tax liability and corresponding income tax expense to be recorded by each of five of the Company's affiliates as a result of its termination of S Corporation status</t>
  </si>
  <si>
    <t xml:space="preserve"> (2) Adjusted to give effect to payment of a portion of certain notes payable to existing stockholders of three of the Company's affiliates equal to $43.88M, payment of cash dividends of $2.0 million </t>
  </si>
  <si>
    <t xml:space="preserve">      related to the Reorganization, this Offering and the application of the estimated net proceeds.</t>
  </si>
  <si>
    <t xml:space="preserve">      Pro forma amortization expense totaled $1,684 and $1,263 for the year ended December 31, 1995 and the nine months ended September 30, 1996, respectively.</t>
  </si>
  <si>
    <t xml:space="preserve">          Adjusted to give effect to the accounting for the minority interest under the purchase method of accounting. Accordingly, goodwill of $50,535 was recorded and is being amortized over 30 years. </t>
  </si>
  <si>
    <t>Insider Sells</t>
  </si>
  <si>
    <t>Debt</t>
  </si>
  <si>
    <t xml:space="preserve">     Percent of Teleservice Market</t>
  </si>
  <si>
    <t>Exhibit 3: Industry Equity Issues</t>
  </si>
  <si>
    <t>Note: Numbers are in thousands except where noted. Shares outstanding are in 1000s.</t>
  </si>
  <si>
    <t>IPO</t>
  </si>
  <si>
    <t>Property Plant and Equipment</t>
  </si>
  <si>
    <t xml:space="preserve">     % of Sales</t>
  </si>
  <si>
    <t>Total Capital</t>
  </si>
  <si>
    <r>
      <t xml:space="preserve">Net Working Capital </t>
    </r>
    <r>
      <rPr>
        <sz val="8"/>
        <rFont val="Arial"/>
        <family val="2"/>
      </rPr>
      <t xml:space="preserve">(1) </t>
    </r>
  </si>
  <si>
    <t>Notes:</t>
  </si>
  <si>
    <t xml:space="preserve">     (1) Excludes excess cash.</t>
  </si>
  <si>
    <t>Weighted average common shares outstanding</t>
  </si>
  <si>
    <t>Historical</t>
  </si>
  <si>
    <t>Net working capital</t>
  </si>
  <si>
    <t>Discount Rate</t>
  </si>
  <si>
    <t>Perpetuity Period Growth Rate</t>
  </si>
  <si>
    <t>1997E</t>
  </si>
  <si>
    <t>1998E</t>
  </si>
  <si>
    <t>1999E</t>
  </si>
  <si>
    <t>2000E</t>
  </si>
  <si>
    <t>2001E</t>
  </si>
  <si>
    <t>1994A</t>
  </si>
  <si>
    <t>1995A</t>
  </si>
  <si>
    <t>1996E</t>
  </si>
  <si>
    <t>Exhibit 8: Valuation Model for West Teleservices</t>
  </si>
  <si>
    <t>Exhibit 7: West Teleservices Balance Sheet</t>
  </si>
  <si>
    <t>Exhibit 6: West Teleservice Income Statement</t>
  </si>
</sst>
</file>

<file path=xl/styles.xml><?xml version="1.0" encoding="utf-8"?>
<styleSheet xmlns="http://schemas.openxmlformats.org/spreadsheetml/2006/main">
  <numFmts count="1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70" formatCode="0.0_);[Red]\(0.0\)"/>
    <numFmt numFmtId="174" formatCode="&quot;$&quot;#,##0"/>
    <numFmt numFmtId="175" formatCode="0.0"/>
    <numFmt numFmtId="176" formatCode="0.0%"/>
    <numFmt numFmtId="179" formatCode="0_);[Red]\(0\)"/>
    <numFmt numFmtId="180" formatCode="#,##0.0_);[Red]\(#,##0.0\)"/>
    <numFmt numFmtId="181" formatCode="&quot;$&quot;#,##0.00"/>
    <numFmt numFmtId="182" formatCode="mmmm\ d\,\ yyyy"/>
    <numFmt numFmtId="184" formatCode="\c\omm\a"/>
    <numFmt numFmtId="185" formatCode="&quot;$&quot;#,##0.000"/>
    <numFmt numFmtId="188" formatCode="_(* #,##0_);_(* \(#,##0\);_(* &quot;-&quot;??_);_(@_)"/>
    <numFmt numFmtId="193" formatCode="_(&quot;$&quot;* #,##0_);_(&quot;$&quot;* \(#,##0\);_(&quot;$&quot;* &quot;-&quot;??_);_(@_)"/>
  </numFmts>
  <fonts count="12">
    <font>
      <sz val="10"/>
      <name val="Arial"/>
    </font>
    <font>
      <sz val="10"/>
      <name val="Arial"/>
    </font>
    <font>
      <sz val="10"/>
      <name val="Helv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4" fontId="3" fillId="0" borderId="0" xfId="3" applyNumberFormat="1" applyFont="1" applyAlignment="1">
      <alignment horizontal="left"/>
    </xf>
    <xf numFmtId="4" fontId="4" fillId="0" borderId="0" xfId="3" applyNumberFormat="1" applyFont="1"/>
    <xf numFmtId="4" fontId="5" fillId="0" borderId="0" xfId="3" applyNumberFormat="1" applyFont="1" applyAlignment="1">
      <alignment horizontal="centerContinuous"/>
    </xf>
    <xf numFmtId="4" fontId="4" fillId="0" borderId="0" xfId="3" applyNumberFormat="1" applyFont="1" applyBorder="1"/>
    <xf numFmtId="4" fontId="4" fillId="0" borderId="0" xfId="3" applyNumberFormat="1" applyFont="1" applyAlignment="1">
      <alignment horizontal="centerContinuous"/>
    </xf>
    <xf numFmtId="4" fontId="4" fillId="0" borderId="0" xfId="3" applyNumberFormat="1" applyFont="1" applyBorder="1" applyAlignment="1">
      <alignment horizontal="left"/>
    </xf>
    <xf numFmtId="4" fontId="4" fillId="0" borderId="0" xfId="3" applyNumberFormat="1" applyFont="1" applyAlignment="1">
      <alignment horizontal="left"/>
    </xf>
    <xf numFmtId="4" fontId="4" fillId="0" borderId="0" xfId="3" applyNumberFormat="1" applyFont="1" applyAlignment="1">
      <alignment horizontal="center"/>
    </xf>
    <xf numFmtId="0" fontId="4" fillId="0" borderId="0" xfId="3" applyNumberFormat="1" applyFont="1" applyAlignment="1">
      <alignment horizontal="right"/>
    </xf>
    <xf numFmtId="6" fontId="4" fillId="0" borderId="0" xfId="3" applyNumberFormat="1" applyFont="1" applyAlignment="1">
      <alignment horizontal="right"/>
    </xf>
    <xf numFmtId="6" fontId="4" fillId="0" borderId="0" xfId="3" applyNumberFormat="1" applyFont="1" applyBorder="1"/>
    <xf numFmtId="38" fontId="4" fillId="0" borderId="0" xfId="3" applyNumberFormat="1" applyFont="1" applyAlignment="1">
      <alignment horizontal="right"/>
    </xf>
    <xf numFmtId="38" fontId="4" fillId="0" borderId="0" xfId="3" applyNumberFormat="1" applyFont="1" applyBorder="1"/>
    <xf numFmtId="9" fontId="4" fillId="0" borderId="0" xfId="4" applyFont="1"/>
    <xf numFmtId="0" fontId="3" fillId="0" borderId="0" xfId="3" applyFont="1"/>
    <xf numFmtId="3" fontId="4" fillId="0" borderId="0" xfId="3" applyNumberFormat="1" applyFont="1"/>
    <xf numFmtId="0" fontId="4" fillId="0" borderId="0" xfId="3" applyFont="1"/>
    <xf numFmtId="184" fontId="4" fillId="0" borderId="0" xfId="3" applyNumberFormat="1" applyFont="1"/>
    <xf numFmtId="1" fontId="4" fillId="0" borderId="0" xfId="3" applyNumberFormat="1" applyFont="1"/>
    <xf numFmtId="1" fontId="4" fillId="0" borderId="1" xfId="3" applyNumberFormat="1" applyFont="1" applyBorder="1" applyAlignment="1">
      <alignment horizontal="center"/>
    </xf>
    <xf numFmtId="0" fontId="4" fillId="0" borderId="1" xfId="3" applyFont="1" applyBorder="1"/>
    <xf numFmtId="3" fontId="4" fillId="0" borderId="1" xfId="3" applyNumberFormat="1" applyFont="1" applyBorder="1"/>
    <xf numFmtId="1" fontId="4" fillId="0" borderId="0" xfId="3" applyNumberFormat="1" applyFont="1" applyAlignment="1">
      <alignment horizontal="left"/>
    </xf>
    <xf numFmtId="179" fontId="4" fillId="0" borderId="0" xfId="3" applyNumberFormat="1" applyFont="1"/>
    <xf numFmtId="1" fontId="4" fillId="0" borderId="1" xfId="3" applyNumberFormat="1" applyFont="1" applyBorder="1" applyAlignment="1">
      <alignment horizontal="left"/>
    </xf>
    <xf numFmtId="38" fontId="4" fillId="0" borderId="1" xfId="3" applyNumberFormat="1" applyFont="1" applyBorder="1" applyAlignment="1">
      <alignment horizontal="right"/>
    </xf>
    <xf numFmtId="179" fontId="4" fillId="0" borderId="1" xfId="3" applyNumberFormat="1" applyFont="1" applyBorder="1" applyAlignment="1">
      <alignment horizontal="left"/>
    </xf>
    <xf numFmtId="179" fontId="4" fillId="0" borderId="1" xfId="3" applyNumberFormat="1" applyFont="1" applyBorder="1"/>
    <xf numFmtId="179" fontId="4" fillId="0" borderId="0" xfId="3" applyNumberFormat="1" applyFont="1" applyAlignment="1">
      <alignment horizontal="left"/>
    </xf>
    <xf numFmtId="8" fontId="4" fillId="0" borderId="0" xfId="3" applyNumberFormat="1" applyFont="1"/>
    <xf numFmtId="174" fontId="4" fillId="0" borderId="0" xfId="3" applyNumberFormat="1" applyFont="1" applyAlignment="1">
      <alignment horizontal="right"/>
    </xf>
    <xf numFmtId="176" fontId="4" fillId="0" borderId="0" xfId="3" applyNumberFormat="1" applyFont="1" applyAlignment="1">
      <alignment horizontal="right"/>
    </xf>
    <xf numFmtId="176" fontId="4" fillId="0" borderId="0" xfId="3" applyNumberFormat="1" applyFont="1"/>
    <xf numFmtId="176" fontId="4" fillId="0" borderId="1" xfId="3" applyNumberFormat="1" applyFont="1" applyBorder="1" applyAlignment="1">
      <alignment horizontal="right"/>
    </xf>
    <xf numFmtId="38" fontId="4" fillId="0" borderId="0" xfId="3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left"/>
    </xf>
    <xf numFmtId="0" fontId="5" fillId="0" borderId="1" xfId="3" applyFont="1" applyBorder="1"/>
    <xf numFmtId="0" fontId="4" fillId="0" borderId="0" xfId="3" applyFont="1" applyAlignment="1">
      <alignment horizontal="center"/>
    </xf>
    <xf numFmtId="0" fontId="4" fillId="0" borderId="0" xfId="3" applyNumberFormat="1" applyFont="1" applyBorder="1" applyAlignment="1">
      <alignment horizontal="left"/>
    </xf>
    <xf numFmtId="15" fontId="4" fillId="0" borderId="0" xfId="3" applyNumberFormat="1" applyFont="1" applyBorder="1" applyAlignment="1">
      <alignment horizontal="center"/>
    </xf>
    <xf numFmtId="0" fontId="4" fillId="0" borderId="0" xfId="3" applyFont="1" applyBorder="1"/>
    <xf numFmtId="0" fontId="4" fillId="0" borderId="1" xfId="3" applyNumberFormat="1" applyFont="1" applyBorder="1" applyAlignment="1">
      <alignment horizontal="left"/>
    </xf>
    <xf numFmtId="0" fontId="4" fillId="0" borderId="0" xfId="3" applyNumberFormat="1" applyFont="1" applyAlignment="1">
      <alignment horizontal="left"/>
    </xf>
    <xf numFmtId="181" fontId="4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80" fontId="4" fillId="0" borderId="0" xfId="3" applyNumberFormat="1" applyFont="1" applyAlignment="1">
      <alignment horizontal="right"/>
    </xf>
    <xf numFmtId="180" fontId="4" fillId="0" borderId="1" xfId="3" applyNumberFormat="1" applyFont="1" applyBorder="1" applyAlignment="1">
      <alignment horizontal="right"/>
    </xf>
    <xf numFmtId="175" fontId="4" fillId="0" borderId="0" xfId="3" applyNumberFormat="1" applyFont="1" applyAlignment="1">
      <alignment horizontal="right"/>
    </xf>
    <xf numFmtId="175" fontId="4" fillId="0" borderId="1" xfId="3" applyNumberFormat="1" applyFont="1" applyBorder="1" applyAlignment="1">
      <alignment horizontal="right"/>
    </xf>
    <xf numFmtId="170" fontId="4" fillId="0" borderId="0" xfId="3" applyNumberFormat="1" applyFont="1" applyAlignment="1">
      <alignment horizontal="right"/>
    </xf>
    <xf numFmtId="170" fontId="4" fillId="0" borderId="1" xfId="3" applyNumberFormat="1" applyFont="1" applyBorder="1" applyAlignment="1">
      <alignment horizontal="right"/>
    </xf>
    <xf numFmtId="175" fontId="4" fillId="0" borderId="0" xfId="3" applyNumberFormat="1" applyFont="1"/>
    <xf numFmtId="175" fontId="4" fillId="0" borderId="1" xfId="3" applyNumberFormat="1" applyFont="1" applyBorder="1"/>
    <xf numFmtId="0" fontId="6" fillId="0" borderId="0" xfId="3" applyNumberFormat="1" applyFont="1" applyAlignment="1">
      <alignment horizontal="left"/>
    </xf>
    <xf numFmtId="0" fontId="7" fillId="0" borderId="0" xfId="3" applyNumberFormat="1" applyFont="1" applyAlignment="1">
      <alignment horizontal="left"/>
    </xf>
    <xf numFmtId="15" fontId="4" fillId="0" borderId="0" xfId="3" applyNumberFormat="1" applyFont="1"/>
    <xf numFmtId="17" fontId="4" fillId="0" borderId="0" xfId="3" applyNumberFormat="1" applyFont="1"/>
    <xf numFmtId="38" fontId="4" fillId="0" borderId="2" xfId="3" applyNumberFormat="1" applyFont="1" applyBorder="1" applyAlignment="1">
      <alignment horizontal="right"/>
    </xf>
    <xf numFmtId="38" fontId="4" fillId="0" borderId="3" xfId="3" applyNumberFormat="1" applyFont="1" applyBorder="1" applyAlignment="1">
      <alignment horizontal="right"/>
    </xf>
    <xf numFmtId="38" fontId="4" fillId="0" borderId="0" xfId="3" applyNumberFormat="1" applyFont="1"/>
    <xf numFmtId="4" fontId="5" fillId="0" borderId="0" xfId="3" applyNumberFormat="1" applyFont="1" applyAlignment="1">
      <alignment horizontal="left"/>
    </xf>
    <xf numFmtId="176" fontId="4" fillId="0" borderId="0" xfId="3" applyNumberFormat="1" applyFont="1" applyBorder="1"/>
    <xf numFmtId="4" fontId="8" fillId="0" borderId="0" xfId="3" applyNumberFormat="1" applyFont="1"/>
    <xf numFmtId="176" fontId="4" fillId="0" borderId="0" xfId="4" applyNumberFormat="1" applyFont="1" applyAlignment="1">
      <alignment horizontal="right"/>
    </xf>
    <xf numFmtId="182" fontId="4" fillId="0" borderId="0" xfId="3" applyNumberFormat="1" applyFont="1" applyAlignment="1">
      <alignment horizontal="left"/>
    </xf>
    <xf numFmtId="0" fontId="4" fillId="0" borderId="0" xfId="3" applyFont="1" applyAlignment="1">
      <alignment horizontal="left"/>
    </xf>
    <xf numFmtId="185" fontId="4" fillId="0" borderId="0" xfId="3" applyNumberFormat="1" applyFont="1" applyAlignment="1">
      <alignment horizontal="right"/>
    </xf>
    <xf numFmtId="182" fontId="4" fillId="0" borderId="1" xfId="3" applyNumberFormat="1" applyFont="1" applyBorder="1" applyAlignment="1">
      <alignment horizontal="left"/>
    </xf>
    <xf numFmtId="0" fontId="4" fillId="0" borderId="1" xfId="3" applyFont="1" applyBorder="1" applyAlignment="1">
      <alignment horizontal="left"/>
    </xf>
    <xf numFmtId="185" fontId="4" fillId="0" borderId="1" xfId="3" applyNumberFormat="1" applyFont="1" applyBorder="1" applyAlignment="1">
      <alignment horizontal="right"/>
    </xf>
    <xf numFmtId="3" fontId="4" fillId="0" borderId="1" xfId="3" applyNumberFormat="1" applyFont="1" applyBorder="1" applyAlignment="1">
      <alignment horizontal="right"/>
    </xf>
    <xf numFmtId="174" fontId="4" fillId="0" borderId="1" xfId="3" applyNumberFormat="1" applyFont="1" applyBorder="1" applyAlignment="1">
      <alignment horizontal="right"/>
    </xf>
    <xf numFmtId="2" fontId="4" fillId="0" borderId="0" xfId="3" applyNumberFormat="1" applyFont="1"/>
    <xf numFmtId="14" fontId="4" fillId="0" borderId="0" xfId="3" applyNumberFormat="1" applyFont="1"/>
    <xf numFmtId="0" fontId="6" fillId="0" borderId="0" xfId="3" applyFont="1"/>
    <xf numFmtId="10" fontId="4" fillId="0" borderId="0" xfId="3" applyNumberFormat="1" applyFont="1" applyAlignment="1">
      <alignment horizontal="right"/>
    </xf>
    <xf numFmtId="0" fontId="5" fillId="0" borderId="1" xfId="3" applyNumberFormat="1" applyFont="1" applyBorder="1" applyAlignment="1">
      <alignment horizontal="left"/>
    </xf>
    <xf numFmtId="3" fontId="9" fillId="0" borderId="0" xfId="3" applyNumberFormat="1" applyFont="1" applyAlignment="1">
      <alignment horizontal="right"/>
    </xf>
    <xf numFmtId="0" fontId="4" fillId="0" borderId="4" xfId="3" applyFont="1" applyBorder="1"/>
    <xf numFmtId="3" fontId="9" fillId="0" borderId="4" xfId="3" applyNumberFormat="1" applyFont="1" applyBorder="1" applyAlignment="1">
      <alignment horizontal="right"/>
    </xf>
    <xf numFmtId="0" fontId="4" fillId="0" borderId="1" xfId="3" applyNumberFormat="1" applyFont="1" applyBorder="1" applyAlignment="1">
      <alignment horizontal="right"/>
    </xf>
    <xf numFmtId="0" fontId="4" fillId="0" borderId="5" xfId="3" applyNumberFormat="1" applyFont="1" applyBorder="1" applyAlignment="1">
      <alignment horizontal="right"/>
    </xf>
    <xf numFmtId="188" fontId="4" fillId="0" borderId="0" xfId="1" applyNumberFormat="1" applyFont="1" applyAlignment="1">
      <alignment horizontal="right"/>
    </xf>
    <xf numFmtId="188" fontId="4" fillId="0" borderId="0" xfId="1" applyNumberFormat="1" applyFont="1"/>
    <xf numFmtId="188" fontId="9" fillId="0" borderId="0" xfId="1" applyNumberFormat="1" applyFont="1" applyAlignment="1">
      <alignment horizontal="right"/>
    </xf>
    <xf numFmtId="188" fontId="9" fillId="0" borderId="4" xfId="1" applyNumberFormat="1" applyFont="1" applyBorder="1" applyAlignment="1">
      <alignment horizontal="right"/>
    </xf>
    <xf numFmtId="176" fontId="4" fillId="0" borderId="0" xfId="3" applyNumberFormat="1" applyFont="1" applyBorder="1" applyAlignment="1">
      <alignment horizontal="right"/>
    </xf>
    <xf numFmtId="176" fontId="4" fillId="0" borderId="0" xfId="3" applyNumberFormat="1" applyFont="1" applyBorder="1" applyAlignment="1"/>
    <xf numFmtId="188" fontId="4" fillId="0" borderId="0" xfId="3" applyNumberFormat="1" applyFont="1"/>
    <xf numFmtId="4" fontId="6" fillId="0" borderId="0" xfId="3" applyNumberFormat="1" applyFont="1"/>
    <xf numFmtId="188" fontId="9" fillId="0" borderId="0" xfId="1" applyNumberFormat="1" applyFont="1" applyAlignment="1">
      <alignment horizontal="left"/>
    </xf>
    <xf numFmtId="3" fontId="0" fillId="0" borderId="0" xfId="0" applyNumberFormat="1"/>
    <xf numFmtId="0" fontId="4" fillId="0" borderId="6" xfId="3" applyNumberFormat="1" applyFont="1" applyBorder="1" applyAlignment="1">
      <alignment horizontal="center"/>
    </xf>
    <xf numFmtId="0" fontId="4" fillId="0" borderId="0" xfId="3" applyNumberFormat="1" applyFont="1" applyBorder="1" applyAlignment="1">
      <alignment horizontal="center"/>
    </xf>
    <xf numFmtId="188" fontId="4" fillId="0" borderId="0" xfId="1" applyNumberFormat="1" applyFont="1" applyBorder="1" applyAlignment="1">
      <alignment horizontal="right"/>
    </xf>
    <xf numFmtId="188" fontId="4" fillId="0" borderId="1" xfId="1" applyNumberFormat="1" applyFont="1" applyBorder="1" applyAlignment="1">
      <alignment horizontal="right"/>
    </xf>
    <xf numFmtId="193" fontId="4" fillId="0" borderId="0" xfId="2" applyNumberFormat="1" applyFont="1" applyAlignment="1">
      <alignment horizontal="right"/>
    </xf>
    <xf numFmtId="193" fontId="4" fillId="0" borderId="0" xfId="3" applyNumberFormat="1" applyFont="1"/>
    <xf numFmtId="43" fontId="4" fillId="0" borderId="0" xfId="3" applyNumberFormat="1" applyFont="1"/>
    <xf numFmtId="6" fontId="4" fillId="0" borderId="1" xfId="3" applyNumberFormat="1" applyFont="1" applyBorder="1" applyAlignment="1">
      <alignment horizontal="right"/>
    </xf>
    <xf numFmtId="188" fontId="4" fillId="0" borderId="4" xfId="1" applyNumberFormat="1" applyFont="1" applyBorder="1" applyAlignment="1">
      <alignment horizontal="right"/>
    </xf>
    <xf numFmtId="188" fontId="9" fillId="0" borderId="0" xfId="1" applyNumberFormat="1" applyFont="1" applyBorder="1" applyAlignment="1">
      <alignment horizontal="right"/>
    </xf>
    <xf numFmtId="44" fontId="4" fillId="0" borderId="0" xfId="2" applyNumberFormat="1" applyFont="1" applyAlignment="1">
      <alignment horizontal="right"/>
    </xf>
    <xf numFmtId="43" fontId="4" fillId="0" borderId="0" xfId="1" applyFont="1"/>
    <xf numFmtId="38" fontId="9" fillId="0" borderId="0" xfId="3" applyNumberFormat="1" applyFont="1" applyAlignment="1">
      <alignment horizontal="right"/>
    </xf>
    <xf numFmtId="188" fontId="4" fillId="0" borderId="1" xfId="1" applyNumberFormat="1" applyFont="1" applyBorder="1"/>
    <xf numFmtId="3" fontId="0" fillId="0" borderId="0" xfId="0" applyNumberFormat="1" applyAlignment="1">
      <alignment horizontal="right"/>
    </xf>
    <xf numFmtId="43" fontId="4" fillId="0" borderId="0" xfId="1" applyFont="1" applyAlignment="1">
      <alignment horizontal="right"/>
    </xf>
    <xf numFmtId="43" fontId="4" fillId="0" borderId="4" xfId="1" applyFont="1" applyBorder="1" applyAlignment="1">
      <alignment horizontal="right"/>
    </xf>
    <xf numFmtId="0" fontId="4" fillId="0" borderId="1" xfId="3" applyFont="1" applyBorder="1" applyAlignment="1">
      <alignment horizontal="center"/>
    </xf>
    <xf numFmtId="6" fontId="4" fillId="0" borderId="0" xfId="3" applyNumberFormat="1" applyFont="1" applyBorder="1" applyAlignment="1">
      <alignment horizontal="right"/>
    </xf>
    <xf numFmtId="3" fontId="9" fillId="0" borderId="0" xfId="3" applyNumberFormat="1" applyFont="1" applyBorder="1" applyAlignment="1">
      <alignment horizontal="right"/>
    </xf>
    <xf numFmtId="176" fontId="6" fillId="0" borderId="0" xfId="4" applyNumberFormat="1" applyFont="1" applyBorder="1"/>
    <xf numFmtId="176" fontId="6" fillId="0" borderId="4" xfId="4" applyNumberFormat="1" applyFont="1" applyBorder="1"/>
    <xf numFmtId="176" fontId="10" fillId="0" borderId="0" xfId="4" applyNumberFormat="1" applyFont="1"/>
    <xf numFmtId="176" fontId="6" fillId="0" borderId="0" xfId="4" applyNumberFormat="1" applyFont="1"/>
    <xf numFmtId="176" fontId="10" fillId="0" borderId="0" xfId="4" applyNumberFormat="1" applyFont="1" applyBorder="1"/>
    <xf numFmtId="176" fontId="6" fillId="0" borderId="0" xfId="4" applyNumberFormat="1" applyFont="1" applyBorder="1" applyAlignment="1">
      <alignment horizontal="right"/>
    </xf>
    <xf numFmtId="176" fontId="6" fillId="0" borderId="4" xfId="4" applyNumberFormat="1" applyFont="1" applyBorder="1" applyAlignment="1">
      <alignment horizontal="right"/>
    </xf>
    <xf numFmtId="176" fontId="6" fillId="0" borderId="0" xfId="4" applyNumberFormat="1" applyFont="1" applyAlignment="1">
      <alignment horizontal="right"/>
    </xf>
    <xf numFmtId="176" fontId="10" fillId="0" borderId="0" xfId="4" applyNumberFormat="1" applyFont="1" applyAlignment="1">
      <alignment horizontal="right"/>
    </xf>
    <xf numFmtId="176" fontId="11" fillId="0" borderId="0" xfId="4" applyNumberFormat="1" applyFont="1" applyAlignment="1">
      <alignment horizontal="right"/>
    </xf>
    <xf numFmtId="188" fontId="6" fillId="0" borderId="0" xfId="1" applyNumberFormat="1" applyFont="1"/>
    <xf numFmtId="9" fontId="6" fillId="0" borderId="0" xfId="4" applyFont="1" applyBorder="1" applyAlignment="1">
      <alignment horizontal="right"/>
    </xf>
    <xf numFmtId="9" fontId="6" fillId="0" borderId="4" xfId="4" applyFont="1" applyBorder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_west teleservices answer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topLeftCell="A4" workbookViewId="0"/>
  </sheetViews>
  <sheetFormatPr defaultColWidth="10.28515625" defaultRowHeight="12.75"/>
  <cols>
    <col min="1" max="1" width="26.7109375" style="19" customWidth="1"/>
    <col min="2" max="2" width="14.28515625" style="16" customWidth="1"/>
    <col min="3" max="3" width="15.28515625" style="16" customWidth="1"/>
    <col min="4" max="4" width="14.7109375" style="16" customWidth="1"/>
    <col min="5" max="5" width="14.7109375" style="17" customWidth="1"/>
    <col min="6" max="16384" width="10.28515625" style="17"/>
  </cols>
  <sheetData>
    <row r="1" spans="1:4" ht="15.75">
      <c r="A1" s="15" t="s">
        <v>8</v>
      </c>
    </row>
    <row r="2" spans="1:4">
      <c r="A2" s="17" t="s">
        <v>9</v>
      </c>
    </row>
    <row r="3" spans="1:4">
      <c r="A3" s="18"/>
    </row>
    <row r="4" spans="1:4">
      <c r="B4" s="20">
        <v>1994</v>
      </c>
      <c r="C4" s="20">
        <v>1995</v>
      </c>
      <c r="D4" s="20">
        <v>1996</v>
      </c>
    </row>
    <row r="5" spans="1:4">
      <c r="A5" s="21" t="s">
        <v>73</v>
      </c>
      <c r="B5" s="22"/>
      <c r="C5" s="22"/>
      <c r="D5" s="22"/>
    </row>
    <row r="6" spans="1:4">
      <c r="A6" s="23" t="s">
        <v>11</v>
      </c>
      <c r="B6" s="10">
        <v>116757000</v>
      </c>
      <c r="C6" s="10">
        <v>187215000</v>
      </c>
      <c r="D6" s="10">
        <v>312750000</v>
      </c>
    </row>
    <row r="7" spans="1:4">
      <c r="A7" s="23" t="s">
        <v>12</v>
      </c>
      <c r="B7" s="10">
        <v>5235000</v>
      </c>
      <c r="C7" s="10">
        <v>16900000</v>
      </c>
      <c r="D7" s="10">
        <v>28338000</v>
      </c>
    </row>
    <row r="8" spans="1:4">
      <c r="A8" s="25" t="s">
        <v>13</v>
      </c>
      <c r="B8" s="100">
        <v>3935000</v>
      </c>
      <c r="C8" s="100">
        <v>9700000</v>
      </c>
      <c r="D8" s="100">
        <v>10857000</v>
      </c>
    </row>
    <row r="9" spans="1:4">
      <c r="B9" s="24"/>
      <c r="C9" s="24"/>
      <c r="D9" s="24"/>
    </row>
    <row r="10" spans="1:4">
      <c r="A10" s="25" t="s">
        <v>14</v>
      </c>
      <c r="B10" s="27"/>
      <c r="C10" s="28"/>
      <c r="D10" s="28"/>
    </row>
    <row r="11" spans="1:4">
      <c r="A11" s="23" t="s">
        <v>11</v>
      </c>
      <c r="B11" s="10">
        <v>46618000</v>
      </c>
      <c r="C11" s="10">
        <v>101667000</v>
      </c>
      <c r="D11" s="10">
        <v>276443000</v>
      </c>
    </row>
    <row r="12" spans="1:4">
      <c r="A12" s="23" t="s">
        <v>12</v>
      </c>
      <c r="B12" s="10">
        <v>6630000</v>
      </c>
      <c r="C12" s="10">
        <v>13287000</v>
      </c>
      <c r="D12" s="10">
        <v>49079000</v>
      </c>
    </row>
    <row r="13" spans="1:4">
      <c r="A13" s="25" t="s">
        <v>13</v>
      </c>
      <c r="B13" s="100">
        <v>5966000</v>
      </c>
      <c r="C13" s="100">
        <v>8153000</v>
      </c>
      <c r="D13" s="100">
        <v>30550000</v>
      </c>
    </row>
    <row r="14" spans="1:4">
      <c r="A14" s="23"/>
      <c r="B14" s="24"/>
      <c r="C14" s="104"/>
      <c r="D14" s="14"/>
    </row>
    <row r="15" spans="1:4">
      <c r="A15" s="25" t="s">
        <v>15</v>
      </c>
      <c r="B15" s="27"/>
      <c r="C15" s="28"/>
      <c r="D15" s="28"/>
    </row>
    <row r="16" spans="1:4">
      <c r="A16" s="23" t="s">
        <v>11</v>
      </c>
      <c r="B16" s="10">
        <v>34123000</v>
      </c>
      <c r="C16" s="10">
        <v>52116000</v>
      </c>
      <c r="D16" s="10">
        <v>71599000</v>
      </c>
    </row>
    <row r="17" spans="1:5">
      <c r="A17" s="23" t="s">
        <v>12</v>
      </c>
      <c r="B17" s="10">
        <v>1409000</v>
      </c>
      <c r="C17" s="10">
        <v>2404000</v>
      </c>
      <c r="D17" s="10">
        <f>-10335000+12689000</f>
        <v>2354000</v>
      </c>
    </row>
    <row r="18" spans="1:5">
      <c r="A18" s="25" t="s">
        <v>13</v>
      </c>
      <c r="B18" s="100">
        <v>492000</v>
      </c>
      <c r="C18" s="100">
        <v>903000</v>
      </c>
      <c r="D18" s="100">
        <f>-6748000+12689000*(3767/10515)</f>
        <v>-2202164.2415596768</v>
      </c>
      <c r="E18" s="111"/>
    </row>
    <row r="19" spans="1:5">
      <c r="A19" s="23"/>
      <c r="B19" s="29"/>
      <c r="C19" s="14"/>
      <c r="D19" s="14"/>
    </row>
    <row r="20" spans="1:5">
      <c r="A20" s="25" t="s">
        <v>20</v>
      </c>
      <c r="B20" s="28"/>
      <c r="C20" s="28"/>
      <c r="D20" s="28"/>
    </row>
    <row r="21" spans="1:5">
      <c r="A21" s="23" t="s">
        <v>11</v>
      </c>
      <c r="B21" s="10">
        <v>14998000</v>
      </c>
      <c r="C21" s="10">
        <v>30204000</v>
      </c>
      <c r="D21" s="10">
        <v>97637000</v>
      </c>
    </row>
    <row r="22" spans="1:5">
      <c r="A22" s="23" t="s">
        <v>12</v>
      </c>
      <c r="B22" s="10">
        <v>-80000</v>
      </c>
      <c r="C22" s="10">
        <v>1828000</v>
      </c>
      <c r="D22" s="10">
        <v>11565000</v>
      </c>
    </row>
    <row r="23" spans="1:5">
      <c r="A23" s="25" t="s">
        <v>13</v>
      </c>
      <c r="B23" s="100">
        <v>-372000</v>
      </c>
      <c r="C23" s="100">
        <v>1456000</v>
      </c>
      <c r="D23" s="100">
        <v>7850000</v>
      </c>
    </row>
    <row r="24" spans="1:5">
      <c r="B24" s="24"/>
      <c r="C24" s="24"/>
      <c r="D24" s="24"/>
    </row>
    <row r="25" spans="1:5">
      <c r="A25" s="25" t="s">
        <v>16</v>
      </c>
      <c r="B25" s="27" t="s">
        <v>17</v>
      </c>
      <c r="C25" s="28"/>
      <c r="D25" s="28"/>
    </row>
    <row r="26" spans="1:5">
      <c r="A26" s="23" t="s">
        <v>11</v>
      </c>
      <c r="B26" s="10">
        <v>35462000</v>
      </c>
      <c r="C26" s="10">
        <v>50467000</v>
      </c>
      <c r="D26" s="10">
        <v>165504000</v>
      </c>
    </row>
    <row r="27" spans="1:5">
      <c r="A27" s="23" t="s">
        <v>12</v>
      </c>
      <c r="B27" s="10">
        <v>2196000</v>
      </c>
      <c r="C27" s="10">
        <v>4596000</v>
      </c>
      <c r="D27" s="10">
        <v>23212000</v>
      </c>
    </row>
    <row r="28" spans="1:5">
      <c r="A28" s="25" t="s">
        <v>13</v>
      </c>
      <c r="B28" s="100">
        <v>1695000</v>
      </c>
      <c r="C28" s="100">
        <v>4156000</v>
      </c>
      <c r="D28" s="100">
        <v>13756000</v>
      </c>
    </row>
    <row r="29" spans="1:5">
      <c r="B29" s="24"/>
      <c r="C29" s="24"/>
      <c r="D29" s="24"/>
    </row>
    <row r="30" spans="1:5">
      <c r="A30" s="25" t="s">
        <v>18</v>
      </c>
      <c r="B30" s="27" t="s">
        <v>17</v>
      </c>
      <c r="C30" s="28"/>
      <c r="D30" s="28"/>
    </row>
    <row r="31" spans="1:5">
      <c r="A31" s="23" t="s">
        <v>11</v>
      </c>
      <c r="B31" s="10"/>
      <c r="C31" s="10">
        <v>87954000</v>
      </c>
      <c r="D31" s="10">
        <v>119176000</v>
      </c>
    </row>
    <row r="32" spans="1:5">
      <c r="A32" s="23" t="s">
        <v>12</v>
      </c>
      <c r="B32" s="10"/>
      <c r="C32" s="10">
        <v>4972000</v>
      </c>
      <c r="D32" s="10">
        <v>6111000</v>
      </c>
    </row>
    <row r="33" spans="1:5">
      <c r="A33" s="25" t="s">
        <v>13</v>
      </c>
      <c r="B33" s="100"/>
      <c r="C33" s="100">
        <v>2629000</v>
      </c>
      <c r="D33" s="100">
        <v>3439000</v>
      </c>
    </row>
    <row r="34" spans="1:5">
      <c r="B34" s="24"/>
      <c r="C34" s="24"/>
      <c r="D34" s="24"/>
    </row>
    <row r="35" spans="1:5">
      <c r="A35" s="25" t="s">
        <v>19</v>
      </c>
      <c r="B35" s="27" t="s">
        <v>17</v>
      </c>
      <c r="C35" s="28"/>
      <c r="D35" s="28"/>
    </row>
    <row r="36" spans="1:5">
      <c r="A36" s="23" t="s">
        <v>11</v>
      </c>
      <c r="B36" s="10">
        <v>17105000</v>
      </c>
      <c r="C36" s="10">
        <v>25545000</v>
      </c>
      <c r="D36" s="10">
        <v>32316000</v>
      </c>
    </row>
    <row r="37" spans="1:5">
      <c r="A37" s="23" t="s">
        <v>12</v>
      </c>
      <c r="B37" s="10">
        <v>812000</v>
      </c>
      <c r="C37" s="10">
        <v>2023000</v>
      </c>
      <c r="D37" s="10">
        <f>-2652000+6087000</f>
        <v>3435000</v>
      </c>
    </row>
    <row r="38" spans="1:5">
      <c r="A38" s="25" t="s">
        <v>13</v>
      </c>
      <c r="B38" s="100">
        <v>602000</v>
      </c>
      <c r="C38" s="100">
        <v>1741000</v>
      </c>
      <c r="D38" s="100">
        <f>-3905000+6087000*(0.26)</f>
        <v>-2322380</v>
      </c>
    </row>
    <row r="39" spans="1:5">
      <c r="B39" s="24"/>
      <c r="C39" s="24"/>
      <c r="D39" s="24"/>
    </row>
    <row r="40" spans="1:5">
      <c r="A40" s="25" t="s">
        <v>21</v>
      </c>
      <c r="B40" s="28"/>
      <c r="C40" s="28"/>
      <c r="D40" s="28"/>
    </row>
    <row r="41" spans="1:5">
      <c r="A41" s="23" t="s">
        <v>11</v>
      </c>
      <c r="B41" s="10">
        <f t="shared" ref="B41:D43" si="0">+B6+B11+B16+B21+B26+B31+B36</f>
        <v>265063000</v>
      </c>
      <c r="C41" s="10">
        <f t="shared" si="0"/>
        <v>535168000</v>
      </c>
      <c r="D41" s="10">
        <f t="shared" si="0"/>
        <v>1075425000</v>
      </c>
    </row>
    <row r="42" spans="1:5">
      <c r="A42" s="23" t="s">
        <v>12</v>
      </c>
      <c r="B42" s="10">
        <f t="shared" si="0"/>
        <v>16202000</v>
      </c>
      <c r="C42" s="10">
        <f t="shared" si="0"/>
        <v>46010000</v>
      </c>
      <c r="D42" s="10">
        <f t="shared" si="0"/>
        <v>124094000</v>
      </c>
    </row>
    <row r="43" spans="1:5">
      <c r="A43" s="23" t="s">
        <v>13</v>
      </c>
      <c r="B43" s="10">
        <f t="shared" si="0"/>
        <v>12318000</v>
      </c>
      <c r="C43" s="10">
        <f t="shared" si="0"/>
        <v>28738000</v>
      </c>
      <c r="D43" s="10">
        <f t="shared" si="0"/>
        <v>61927455.758440323</v>
      </c>
    </row>
    <row r="45" spans="1:5">
      <c r="A45" s="23" t="s">
        <v>22</v>
      </c>
      <c r="B45" s="32"/>
      <c r="C45" s="33">
        <f>+C41/B41-1</f>
        <v>1.0190218929084782</v>
      </c>
      <c r="D45" s="33">
        <f>+D41/C41-1</f>
        <v>1.0095091634776368</v>
      </c>
      <c r="E45" s="30"/>
    </row>
    <row r="46" spans="1:5">
      <c r="A46" s="23" t="s">
        <v>23</v>
      </c>
      <c r="B46" s="32">
        <f t="shared" ref="B46:D47" si="1">+B42/B$41</f>
        <v>6.112509101609806E-2</v>
      </c>
      <c r="C46" s="87">
        <f>+C42/C$41</f>
        <v>8.5973002870126769E-2</v>
      </c>
      <c r="D46" s="87">
        <f t="shared" si="1"/>
        <v>0.11539065950670666</v>
      </c>
      <c r="E46" s="30"/>
    </row>
    <row r="47" spans="1:5">
      <c r="A47" s="25" t="s">
        <v>24</v>
      </c>
      <c r="B47" s="34">
        <f t="shared" si="1"/>
        <v>4.6471970814485612E-2</v>
      </c>
      <c r="C47" s="34">
        <f t="shared" si="1"/>
        <v>5.3699025352786416E-2</v>
      </c>
      <c r="D47" s="34">
        <f t="shared" si="1"/>
        <v>5.7584169754692632E-2</v>
      </c>
    </row>
    <row r="48" spans="1:5">
      <c r="A48" s="36"/>
      <c r="B48" s="87"/>
      <c r="C48" s="88"/>
      <c r="D48" s="87"/>
    </row>
    <row r="49" spans="1:5">
      <c r="A49" s="23"/>
      <c r="B49" s="10"/>
      <c r="C49" s="10"/>
      <c r="D49" s="10"/>
    </row>
    <row r="51" spans="1:5">
      <c r="A51" s="23"/>
      <c r="B51" s="32"/>
      <c r="C51" s="33"/>
      <c r="D51" s="33"/>
      <c r="E51" s="30"/>
    </row>
  </sheetData>
  <customSheetViews>
    <customSheetView guid="{7F174012-B49F-11D3-9CA8-00C04FB61851}" showRuler="0" topLeftCell="A59">
      <selection activeCell="A61" sqref="A61:D69"/>
      <pageMargins left="1" right="1" top="1" bottom="1" header="0.5" footer="0.5"/>
      <pageSetup orientation="portrait" horizontalDpi="0" r:id="rId1"/>
      <headerFooter alignWithMargins="0"/>
    </customSheetView>
  </customSheetViews>
  <phoneticPr fontId="0" type="noConversion"/>
  <pageMargins left="1" right="1" top="1" bottom="1" header="0.5" footer="0.5"/>
  <pageSetup orientation="portrait" horizont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0.28515625" defaultRowHeight="12.75"/>
  <cols>
    <col min="1" max="1" width="21.42578125" style="17" customWidth="1"/>
    <col min="2" max="8" width="14.7109375" style="17" customWidth="1"/>
    <col min="9" max="16384" width="10.28515625" style="17"/>
  </cols>
  <sheetData>
    <row r="1" spans="1:9" ht="15.75">
      <c r="A1" s="15" t="s">
        <v>25</v>
      </c>
    </row>
    <row r="2" spans="1:9">
      <c r="A2" s="37"/>
      <c r="B2" s="106"/>
      <c r="C2" s="106"/>
      <c r="D2" s="21"/>
      <c r="E2" s="21"/>
      <c r="F2" s="21"/>
      <c r="G2" s="21"/>
      <c r="H2" s="21"/>
    </row>
    <row r="3" spans="1:9">
      <c r="A3" s="17" t="s">
        <v>26</v>
      </c>
      <c r="B3" s="38" t="s">
        <v>27</v>
      </c>
      <c r="C3" s="38" t="s">
        <v>28</v>
      </c>
      <c r="D3" s="38" t="s">
        <v>29</v>
      </c>
      <c r="E3" s="38" t="s">
        <v>33</v>
      </c>
      <c r="F3" s="38" t="s">
        <v>30</v>
      </c>
      <c r="G3" s="38" t="s">
        <v>31</v>
      </c>
      <c r="H3" s="38" t="s">
        <v>32</v>
      </c>
    </row>
    <row r="4" spans="1:9" s="41" customFormat="1">
      <c r="A4" s="39" t="s">
        <v>34</v>
      </c>
      <c r="B4" s="40">
        <v>34858</v>
      </c>
      <c r="C4" s="40">
        <v>34982</v>
      </c>
      <c r="D4" s="40">
        <v>35229</v>
      </c>
      <c r="E4" s="40">
        <v>35262</v>
      </c>
      <c r="F4" s="40">
        <v>35277</v>
      </c>
      <c r="G4" s="40">
        <v>35284</v>
      </c>
      <c r="H4" s="40">
        <v>35326</v>
      </c>
      <c r="I4" s="39"/>
    </row>
    <row r="5" spans="1:9" s="41" customFormat="1">
      <c r="A5" s="17"/>
      <c r="B5" s="17"/>
      <c r="C5" s="17"/>
      <c r="D5" s="17"/>
      <c r="E5" s="17"/>
      <c r="F5" s="17"/>
      <c r="G5" s="17"/>
      <c r="H5" s="17"/>
      <c r="I5" s="17"/>
    </row>
    <row r="6" spans="1:9">
      <c r="A6" s="42" t="s">
        <v>10</v>
      </c>
      <c r="B6" s="21"/>
      <c r="C6" s="21"/>
      <c r="D6" s="21"/>
      <c r="E6" s="21"/>
      <c r="F6" s="21"/>
      <c r="G6" s="21"/>
      <c r="H6" s="21"/>
    </row>
    <row r="7" spans="1:9">
      <c r="A7" s="43" t="s">
        <v>35</v>
      </c>
      <c r="B7" s="103">
        <v>13.5</v>
      </c>
      <c r="C7" s="103">
        <v>20.875</v>
      </c>
      <c r="D7" s="103">
        <v>31.75</v>
      </c>
      <c r="E7" s="103">
        <v>31.5</v>
      </c>
      <c r="F7" s="103">
        <v>32.5</v>
      </c>
      <c r="G7" s="103">
        <v>34.25</v>
      </c>
      <c r="H7" s="103">
        <v>45.5</v>
      </c>
    </row>
    <row r="8" spans="1:9">
      <c r="A8" s="43" t="s">
        <v>36</v>
      </c>
      <c r="B8" s="83">
        <v>7523000</v>
      </c>
      <c r="C8" s="83">
        <v>7523000</v>
      </c>
      <c r="D8" s="83">
        <v>18647000</v>
      </c>
      <c r="E8" s="83">
        <v>18647000</v>
      </c>
      <c r="F8" s="83">
        <v>18647000</v>
      </c>
      <c r="G8" s="83">
        <v>18647000</v>
      </c>
      <c r="H8" s="83">
        <v>20111000</v>
      </c>
    </row>
    <row r="9" spans="1:9">
      <c r="A9" s="43" t="s">
        <v>37</v>
      </c>
      <c r="B9" s="97">
        <f>+B7*B8</f>
        <v>101560500</v>
      </c>
      <c r="C9" s="97">
        <f t="shared" ref="C9:H9" si="0">+C7*C8</f>
        <v>157042625</v>
      </c>
      <c r="D9" s="97">
        <f t="shared" si="0"/>
        <v>592042250</v>
      </c>
      <c r="E9" s="97">
        <f>+E7*E8</f>
        <v>587380500</v>
      </c>
      <c r="F9" s="97">
        <f t="shared" si="0"/>
        <v>606027500</v>
      </c>
      <c r="G9" s="97">
        <f t="shared" si="0"/>
        <v>638659750</v>
      </c>
      <c r="H9" s="97">
        <f t="shared" si="0"/>
        <v>915050500</v>
      </c>
    </row>
    <row r="10" spans="1:9">
      <c r="A10" s="43" t="s">
        <v>94</v>
      </c>
      <c r="B10" s="97">
        <v>4305000</v>
      </c>
      <c r="C10" s="97"/>
      <c r="D10" s="97"/>
      <c r="E10" s="97"/>
      <c r="F10" s="97"/>
      <c r="G10" s="97"/>
      <c r="H10" s="97"/>
    </row>
    <row r="11" spans="1:9">
      <c r="B11" s="99"/>
    </row>
    <row r="12" spans="1:9">
      <c r="A12" s="43" t="s">
        <v>38</v>
      </c>
      <c r="B12" s="46">
        <f>+B$9/'Exhibit 1'!$C6</f>
        <v>0.54248057046710996</v>
      </c>
      <c r="C12" s="46">
        <f>+C$9/'Exhibit 1'!$C6</f>
        <v>0.83883569692599413</v>
      </c>
      <c r="D12" s="46">
        <f>+D$9/'Exhibit 1'!$D6</f>
        <v>1.8930207833733013</v>
      </c>
      <c r="E12" s="46">
        <f>+E$9/'Exhibit 1'!$D6</f>
        <v>1.8781151079136691</v>
      </c>
      <c r="F12" s="46">
        <f>+F$9/'Exhibit 1'!$D6</f>
        <v>1.9377378097521982</v>
      </c>
      <c r="G12" s="46">
        <f>+G$9/'Exhibit 1'!$D6</f>
        <v>2.0420775379696243</v>
      </c>
      <c r="H12" s="46">
        <f>+H$9/'Exhibit 1'!$D6</f>
        <v>2.9258209432454039</v>
      </c>
    </row>
    <row r="13" spans="1:9">
      <c r="A13" s="43" t="s">
        <v>39</v>
      </c>
      <c r="B13" s="46">
        <f>+B$9/'Exhibit 1'!$C7</f>
        <v>6.0094970414201185</v>
      </c>
      <c r="C13" s="46">
        <f>+C$9/'Exhibit 1'!$C7</f>
        <v>9.29246301775148</v>
      </c>
      <c r="D13" s="46">
        <f>+D$9/'Exhibit 1'!$D7</f>
        <v>20.892167760604135</v>
      </c>
      <c r="E13" s="46">
        <f>+E$9/'Exhibit 1'!$D7</f>
        <v>20.727662502646623</v>
      </c>
      <c r="F13" s="46">
        <f>+F$9/'Exhibit 1'!$D7</f>
        <v>21.385683534476673</v>
      </c>
      <c r="G13" s="46">
        <f>+G$9/'Exhibit 1'!$D7</f>
        <v>22.537220340179264</v>
      </c>
      <c r="H13" s="46">
        <f>+H$9/'Exhibit 1'!$D7</f>
        <v>32.29058155127391</v>
      </c>
    </row>
    <row r="14" spans="1:9">
      <c r="A14" s="42" t="s">
        <v>40</v>
      </c>
      <c r="B14" s="47">
        <f>+B$9/'Exhibit 1'!$C8</f>
        <v>10.470154639175258</v>
      </c>
      <c r="C14" s="47">
        <f>+C$9/'Exhibit 1'!$C8</f>
        <v>16.189961340206185</v>
      </c>
      <c r="D14" s="47">
        <f>+D$9/'Exhibit 1'!$D8</f>
        <v>54.530924749009856</v>
      </c>
      <c r="E14" s="47">
        <f>+E$9/'Exhibit 1'!$D8</f>
        <v>54.101547388781434</v>
      </c>
      <c r="F14" s="47">
        <f>+F$9/'Exhibit 1'!$D8</f>
        <v>55.819056829695128</v>
      </c>
      <c r="G14" s="47">
        <f>+G$9/'Exhibit 1'!$D8</f>
        <v>58.824698351294096</v>
      </c>
      <c r="H14" s="47">
        <f>+H$9/'Exhibit 1'!$D8</f>
        <v>84.282076079948425</v>
      </c>
    </row>
    <row r="17" spans="1:8">
      <c r="A17" s="42" t="s">
        <v>14</v>
      </c>
      <c r="B17" s="42"/>
      <c r="C17" s="21"/>
      <c r="D17" s="21"/>
      <c r="E17" s="21"/>
      <c r="F17" s="21"/>
      <c r="G17" s="21"/>
      <c r="H17" s="21"/>
    </row>
    <row r="18" spans="1:8">
      <c r="A18" s="43" t="s">
        <v>35</v>
      </c>
      <c r="C18" s="44">
        <v>16</v>
      </c>
      <c r="D18" s="44">
        <v>31</v>
      </c>
      <c r="E18" s="44">
        <v>34.75</v>
      </c>
      <c r="F18" s="44">
        <v>37.25</v>
      </c>
      <c r="G18" s="44">
        <v>39.25</v>
      </c>
      <c r="H18" s="44">
        <v>54.5</v>
      </c>
    </row>
    <row r="19" spans="1:8">
      <c r="A19" s="43" t="s">
        <v>36</v>
      </c>
      <c r="C19" s="45">
        <v>23100000</v>
      </c>
      <c r="D19" s="45">
        <v>46200000</v>
      </c>
      <c r="E19" s="45">
        <v>46277000</v>
      </c>
      <c r="F19" s="45">
        <v>46277000</v>
      </c>
      <c r="G19" s="45">
        <v>46277000</v>
      </c>
      <c r="H19" s="45">
        <v>46277000</v>
      </c>
    </row>
    <row r="20" spans="1:8">
      <c r="A20" s="43" t="s">
        <v>37</v>
      </c>
      <c r="C20" s="31">
        <f t="shared" ref="C20:H20" si="1">+C18*C19</f>
        <v>369600000</v>
      </c>
      <c r="D20" s="31">
        <f t="shared" si="1"/>
        <v>1432200000</v>
      </c>
      <c r="E20" s="31">
        <f>+E18*E19</f>
        <v>1608125750</v>
      </c>
      <c r="F20" s="31">
        <f t="shared" si="1"/>
        <v>1723818250</v>
      </c>
      <c r="G20" s="31">
        <f t="shared" si="1"/>
        <v>1816372250</v>
      </c>
      <c r="H20" s="31">
        <f t="shared" si="1"/>
        <v>2522096500</v>
      </c>
    </row>
    <row r="21" spans="1:8">
      <c r="A21" s="43" t="s">
        <v>94</v>
      </c>
      <c r="C21" s="31">
        <v>1325000</v>
      </c>
      <c r="D21" s="31"/>
      <c r="E21" s="31"/>
      <c r="F21" s="31"/>
      <c r="G21" s="31"/>
      <c r="H21" s="31"/>
    </row>
    <row r="22" spans="1:8">
      <c r="A22" s="43"/>
    </row>
    <row r="23" spans="1:8">
      <c r="A23" s="43" t="s">
        <v>38</v>
      </c>
      <c r="C23" s="48">
        <f>+C$20/'Exhibit 1'!C11</f>
        <v>3.6353979167281421</v>
      </c>
      <c r="D23" s="48">
        <f>+D$20/'Exhibit 1'!$D11</f>
        <v>5.1808148515245458</v>
      </c>
      <c r="E23" s="48">
        <f>+E$20/'Exhibit 1'!$D11</f>
        <v>5.8172055360417882</v>
      </c>
      <c r="F23" s="48">
        <f>+F$20/'Exhibit 1'!$D11</f>
        <v>6.2357095314404773</v>
      </c>
      <c r="G23" s="48">
        <f>+G$20/'Exhibit 1'!$D11</f>
        <v>6.5705127277594295</v>
      </c>
      <c r="H23" s="48">
        <f>+H$20/'Exhibit 1'!$D11</f>
        <v>9.1233870996914366</v>
      </c>
    </row>
    <row r="24" spans="1:8">
      <c r="A24" s="39" t="s">
        <v>39</v>
      </c>
      <c r="B24" s="41"/>
      <c r="C24" s="48">
        <f>+C$20/'Exhibit 1'!C12</f>
        <v>27.816662903589975</v>
      </c>
      <c r="D24" s="48">
        <f>+D$20/'Exhibit 1'!$D12</f>
        <v>29.181523665926363</v>
      </c>
      <c r="E24" s="48">
        <f>+E$20/'Exhibit 1'!$D12</f>
        <v>32.76606593451374</v>
      </c>
      <c r="F24" s="48">
        <f>+F$20/'Exhibit 1'!$D12</f>
        <v>35.123336865054299</v>
      </c>
      <c r="G24" s="48">
        <f>+G$20/'Exhibit 1'!$D12</f>
        <v>37.009153609486745</v>
      </c>
      <c r="H24" s="48">
        <f>+H$20/'Exhibit 1'!$D12</f>
        <v>51.388506285784146</v>
      </c>
    </row>
    <row r="25" spans="1:8">
      <c r="A25" s="42" t="s">
        <v>40</v>
      </c>
      <c r="B25" s="21"/>
      <c r="C25" s="49">
        <f>+C$20/'Exhibit 1'!C13</f>
        <v>45.333006255366122</v>
      </c>
      <c r="D25" s="49">
        <f>+D$20/'Exhibit 1'!$D13</f>
        <v>46.880523731587559</v>
      </c>
      <c r="E25" s="49">
        <f>+E$20/'Exhibit 1'!$D13</f>
        <v>52.639140752864158</v>
      </c>
      <c r="F25" s="49">
        <f>+F$20/'Exhibit 1'!$D13</f>
        <v>56.426129296235679</v>
      </c>
      <c r="G25" s="49">
        <f>+G$20/'Exhibit 1'!$D13</f>
        <v>59.455720130932896</v>
      </c>
      <c r="H25" s="49">
        <f>+H$20/'Exhibit 1'!$D13</f>
        <v>82.556350245499175</v>
      </c>
    </row>
    <row r="26" spans="1:8">
      <c r="C26" s="98"/>
    </row>
    <row r="28" spans="1:8">
      <c r="A28" s="42" t="s">
        <v>15</v>
      </c>
      <c r="B28" s="21"/>
      <c r="C28" s="21"/>
      <c r="D28" s="21"/>
      <c r="E28" s="21"/>
      <c r="F28" s="21"/>
      <c r="G28" s="21"/>
      <c r="H28" s="21"/>
    </row>
    <row r="29" spans="1:8">
      <c r="A29" s="43" t="s">
        <v>35</v>
      </c>
      <c r="D29" s="44">
        <v>16</v>
      </c>
      <c r="E29" s="44">
        <v>19.25</v>
      </c>
      <c r="F29" s="44">
        <v>14.75</v>
      </c>
      <c r="G29" s="44">
        <v>15</v>
      </c>
      <c r="H29" s="44">
        <v>11</v>
      </c>
    </row>
    <row r="30" spans="1:8">
      <c r="A30" s="43" t="s">
        <v>36</v>
      </c>
      <c r="D30" s="92">
        <v>11500000</v>
      </c>
      <c r="E30" s="45">
        <v>11500000</v>
      </c>
      <c r="F30" s="45">
        <v>11500000</v>
      </c>
      <c r="G30" s="45">
        <v>11500000</v>
      </c>
      <c r="H30" s="45">
        <v>11500000</v>
      </c>
    </row>
    <row r="31" spans="1:8">
      <c r="A31" s="43" t="s">
        <v>37</v>
      </c>
      <c r="D31" s="31">
        <f>+D29*D30</f>
        <v>184000000</v>
      </c>
      <c r="E31" s="31">
        <f>+E29*E30</f>
        <v>221375000</v>
      </c>
      <c r="F31" s="31">
        <f>+F29*F30</f>
        <v>169625000</v>
      </c>
      <c r="G31" s="31">
        <f>+G29*G30</f>
        <v>172500000</v>
      </c>
      <c r="H31" s="31">
        <f>+H29*H30</f>
        <v>126500000</v>
      </c>
    </row>
    <row r="32" spans="1:8">
      <c r="A32" s="43" t="s">
        <v>94</v>
      </c>
      <c r="D32" s="31">
        <v>0</v>
      </c>
      <c r="E32" s="31"/>
      <c r="F32" s="31"/>
      <c r="G32" s="31"/>
      <c r="H32" s="31"/>
    </row>
    <row r="34" spans="1:9">
      <c r="A34" s="43" t="s">
        <v>38</v>
      </c>
      <c r="D34" s="46">
        <f>D$31/'Exhibit 1'!$D16</f>
        <v>2.5698682942499196</v>
      </c>
      <c r="E34" s="46">
        <f>E$31/'Exhibit 1'!$D16</f>
        <v>3.0918727915194348</v>
      </c>
      <c r="F34" s="46">
        <f>F$31/'Exhibit 1'!$D16</f>
        <v>2.3690973337616446</v>
      </c>
      <c r="G34" s="46">
        <f>G$31/'Exhibit 1'!$D16</f>
        <v>2.4092515258592999</v>
      </c>
      <c r="H34" s="46">
        <f>H$31/'Exhibit 1'!$D16</f>
        <v>1.7667844522968197</v>
      </c>
    </row>
    <row r="35" spans="1:9">
      <c r="A35" s="43" t="s">
        <v>39</v>
      </c>
      <c r="D35" s="46">
        <f>D$31/'Exhibit 1'!$D17</f>
        <v>78.164825828377232</v>
      </c>
      <c r="E35" s="46">
        <f>E$31/'Exhibit 1'!$D17</f>
        <v>94.04205607476635</v>
      </c>
      <c r="F35" s="46">
        <f>F$31/'Exhibit 1'!$D17</f>
        <v>72.058198810535259</v>
      </c>
      <c r="G35" s="46">
        <f>G$31/'Exhibit 1'!$D17</f>
        <v>73.27952421410366</v>
      </c>
      <c r="H35" s="46">
        <f>H$31/'Exhibit 1'!$D17</f>
        <v>53.738317757009348</v>
      </c>
    </row>
    <row r="36" spans="1:9">
      <c r="A36" s="42" t="s">
        <v>40</v>
      </c>
      <c r="B36" s="21"/>
      <c r="C36" s="21"/>
      <c r="D36" s="47">
        <f>D$31/'Exhibit 1'!$D18</f>
        <v>-83.554167544598087</v>
      </c>
      <c r="E36" s="47">
        <f>E$31/'Exhibit 1'!$D18</f>
        <v>-100.52610782709456</v>
      </c>
      <c r="F36" s="47">
        <f>F$31/'Exhibit 1'!$D18</f>
        <v>-77.026498205176352</v>
      </c>
      <c r="G36" s="47">
        <f>G$31/'Exhibit 1'!$D18</f>
        <v>-78.332032073060702</v>
      </c>
      <c r="H36" s="47">
        <f>H$31/'Exhibit 1'!$D18</f>
        <v>-57.443490186911184</v>
      </c>
    </row>
    <row r="39" spans="1:9">
      <c r="A39" s="42" t="s">
        <v>20</v>
      </c>
      <c r="B39" s="21"/>
      <c r="C39" s="21"/>
      <c r="D39" s="21"/>
      <c r="E39" s="21"/>
      <c r="F39" s="21"/>
      <c r="G39" s="21"/>
      <c r="H39" s="21"/>
    </row>
    <row r="40" spans="1:9">
      <c r="A40" s="43" t="s">
        <v>35</v>
      </c>
      <c r="E40" s="44">
        <v>14.5</v>
      </c>
      <c r="F40" s="17">
        <v>20.75</v>
      </c>
      <c r="G40" s="17">
        <v>23.625</v>
      </c>
      <c r="H40" s="17">
        <v>30.125</v>
      </c>
    </row>
    <row r="41" spans="1:9">
      <c r="A41" s="43" t="s">
        <v>36</v>
      </c>
      <c r="E41" s="45">
        <v>20000000</v>
      </c>
      <c r="F41" s="45">
        <v>20000000</v>
      </c>
      <c r="G41" s="45">
        <v>20000000</v>
      </c>
      <c r="H41" s="45">
        <v>20000000</v>
      </c>
    </row>
    <row r="42" spans="1:9">
      <c r="A42" s="43" t="s">
        <v>37</v>
      </c>
      <c r="E42" s="31">
        <f>+E40*E41</f>
        <v>290000000</v>
      </c>
      <c r="F42" s="31">
        <f>+F40*F41</f>
        <v>415000000</v>
      </c>
      <c r="G42" s="31">
        <f>+G40*G41</f>
        <v>472500000</v>
      </c>
      <c r="H42" s="31">
        <f>+H40*H41</f>
        <v>602500000</v>
      </c>
    </row>
    <row r="43" spans="1:9">
      <c r="A43" s="43" t="s">
        <v>94</v>
      </c>
      <c r="E43" s="31">
        <v>529000</v>
      </c>
      <c r="F43" s="31"/>
      <c r="G43" s="31"/>
      <c r="H43" s="31"/>
    </row>
    <row r="45" spans="1:9">
      <c r="A45" s="43" t="s">
        <v>38</v>
      </c>
      <c r="E45" s="48">
        <f>+E$42/'Exhibit 1'!$D21</f>
        <v>2.9701854829624015</v>
      </c>
      <c r="F45" s="48">
        <f>+F$42/'Exhibit 1'!$D21</f>
        <v>4.2504378463082642</v>
      </c>
      <c r="G45" s="48">
        <f>+G$42/'Exhibit 1'!$D21</f>
        <v>4.8393539334473612</v>
      </c>
      <c r="H45" s="48">
        <f>+H$42/'Exhibit 1'!$D21</f>
        <v>6.1708163913270582</v>
      </c>
      <c r="I45" s="16"/>
    </row>
    <row r="46" spans="1:9">
      <c r="A46" s="43" t="s">
        <v>39</v>
      </c>
      <c r="E46" s="48">
        <f>+E$42/'Exhibit 1'!$D22</f>
        <v>25.075659316904453</v>
      </c>
      <c r="F46" s="48">
        <f>+F$42/'Exhibit 1'!$D22</f>
        <v>35.884133160397752</v>
      </c>
      <c r="G46" s="48">
        <f>+G$42/'Exhibit 1'!$D22</f>
        <v>40.856031128404666</v>
      </c>
      <c r="H46" s="48">
        <f>+H$42/'Exhibit 1'!$D22</f>
        <v>52.0968439256377</v>
      </c>
      <c r="I46" s="16"/>
    </row>
    <row r="47" spans="1:9">
      <c r="A47" s="42" t="s">
        <v>40</v>
      </c>
      <c r="B47" s="21"/>
      <c r="C47" s="21"/>
      <c r="D47" s="21"/>
      <c r="E47" s="49">
        <f>+E$42/'Exhibit 1'!$D23</f>
        <v>36.942675159235669</v>
      </c>
      <c r="F47" s="49">
        <f>+F$42/'Exhibit 1'!$D23</f>
        <v>52.866242038216562</v>
      </c>
      <c r="G47" s="49">
        <f>+G$42/'Exhibit 1'!$D23</f>
        <v>60.191082802547768</v>
      </c>
      <c r="H47" s="49">
        <f>+H$42/'Exhibit 1'!$D23</f>
        <v>76.751592356687894</v>
      </c>
      <c r="I47" s="16"/>
    </row>
    <row r="50" spans="1:8">
      <c r="A50" s="42" t="s">
        <v>41</v>
      </c>
      <c r="B50" s="21"/>
      <c r="C50" s="21"/>
      <c r="D50" s="21"/>
      <c r="E50" s="21"/>
      <c r="F50" s="21"/>
      <c r="G50" s="21"/>
      <c r="H50" s="21"/>
    </row>
    <row r="51" spans="1:8">
      <c r="A51" s="43" t="s">
        <v>35</v>
      </c>
      <c r="E51" s="44"/>
      <c r="F51" s="44">
        <v>14.5</v>
      </c>
      <c r="G51" s="44">
        <v>19.125</v>
      </c>
      <c r="H51" s="44">
        <v>35</v>
      </c>
    </row>
    <row r="52" spans="1:8">
      <c r="A52" s="43" t="s">
        <v>36</v>
      </c>
      <c r="B52" s="43" t="s">
        <v>17</v>
      </c>
      <c r="E52" s="45"/>
      <c r="F52" s="92">
        <v>54947000</v>
      </c>
      <c r="G52" s="92">
        <v>54947000</v>
      </c>
      <c r="H52" s="92">
        <v>54947000</v>
      </c>
    </row>
    <row r="53" spans="1:8">
      <c r="A53" s="43" t="s">
        <v>37</v>
      </c>
      <c r="E53" s="31"/>
      <c r="F53" s="31">
        <f>+F51*F52</f>
        <v>796731500</v>
      </c>
      <c r="G53" s="31">
        <f>+G51*G52</f>
        <v>1050861375</v>
      </c>
      <c r="H53" s="31">
        <f>+H51*H52</f>
        <v>1923145000</v>
      </c>
    </row>
    <row r="54" spans="1:8">
      <c r="A54" s="43" t="s">
        <v>94</v>
      </c>
      <c r="E54" s="31"/>
      <c r="F54" s="31">
        <v>6536000</v>
      </c>
      <c r="G54" s="31"/>
      <c r="H54" s="31"/>
    </row>
    <row r="56" spans="1:8">
      <c r="A56" s="43" t="s">
        <v>38</v>
      </c>
      <c r="E56" s="48"/>
      <c r="F56" s="48">
        <f>F$53/'Exhibit 1'!$D26</f>
        <v>4.8139712635344161</v>
      </c>
      <c r="G56" s="48">
        <f>G$53/'Exhibit 1'!$D26</f>
        <v>6.3494620975928076</v>
      </c>
      <c r="H56" s="48">
        <f>H$53/'Exhibit 1'!$D26</f>
        <v>11.619930636117557</v>
      </c>
    </row>
    <row r="57" spans="1:8">
      <c r="A57" s="43" t="s">
        <v>39</v>
      </c>
      <c r="E57" s="48"/>
      <c r="F57" s="48">
        <f>F$53/'Exhibit 1'!$D27</f>
        <v>34.32412114423574</v>
      </c>
      <c r="G57" s="48">
        <f>G$53/'Exhibit 1'!$D27</f>
        <v>45.272332198862657</v>
      </c>
      <c r="H57" s="48">
        <f>H$53/'Exhibit 1'!$D27</f>
        <v>82.851326899879368</v>
      </c>
    </row>
    <row r="58" spans="1:8">
      <c r="A58" s="42" t="s">
        <v>40</v>
      </c>
      <c r="B58" s="21"/>
      <c r="C58" s="21"/>
      <c r="D58" s="21"/>
      <c r="E58" s="49"/>
      <c r="F58" s="49">
        <f>F$53/'Exhibit 1'!$D28</f>
        <v>57.918835417272462</v>
      </c>
      <c r="G58" s="49">
        <f>G$53/'Exhibit 1'!$D28</f>
        <v>76.392946714161098</v>
      </c>
      <c r="H58" s="49">
        <f>H$53/'Exhibit 1'!$D28</f>
        <v>139.804085489968</v>
      </c>
    </row>
    <row r="61" spans="1:8">
      <c r="A61" s="42" t="s">
        <v>42</v>
      </c>
      <c r="B61" s="21"/>
      <c r="C61" s="21"/>
      <c r="D61" s="21"/>
      <c r="E61" s="21"/>
      <c r="F61" s="21"/>
      <c r="G61" s="21"/>
      <c r="H61" s="21"/>
    </row>
    <row r="62" spans="1:8">
      <c r="A62" s="43" t="s">
        <v>35</v>
      </c>
      <c r="E62" s="44"/>
      <c r="G62" s="44">
        <v>15</v>
      </c>
      <c r="H62" s="44">
        <v>20.5</v>
      </c>
    </row>
    <row r="63" spans="1:8">
      <c r="A63" s="43" t="s">
        <v>36</v>
      </c>
      <c r="E63" s="45"/>
      <c r="G63" s="92">
        <v>23200000</v>
      </c>
      <c r="H63" s="45">
        <v>23200000</v>
      </c>
    </row>
    <row r="64" spans="1:8">
      <c r="A64" s="43" t="s">
        <v>37</v>
      </c>
      <c r="E64" s="31"/>
      <c r="G64" s="31">
        <f>+G62*G63</f>
        <v>348000000</v>
      </c>
      <c r="H64" s="31">
        <f>+H62*H63</f>
        <v>475600000</v>
      </c>
    </row>
    <row r="65" spans="1:8">
      <c r="A65" s="43" t="s">
        <v>94</v>
      </c>
      <c r="E65" s="31"/>
      <c r="G65" s="17">
        <v>0</v>
      </c>
      <c r="H65" s="31"/>
    </row>
    <row r="67" spans="1:8">
      <c r="A67" s="43" t="s">
        <v>38</v>
      </c>
      <c r="E67" s="48"/>
      <c r="G67" s="48">
        <f>G$64/'Exhibit 1'!$D31</f>
        <v>2.9200510169832854</v>
      </c>
      <c r="H67" s="48">
        <f>H$64/'Exhibit 1'!$D31</f>
        <v>3.9907363898771564</v>
      </c>
    </row>
    <row r="68" spans="1:8">
      <c r="A68" s="43" t="s">
        <v>39</v>
      </c>
      <c r="E68" s="48"/>
      <c r="G68" s="48">
        <f>G$64/'Exhibit 1'!$D32</f>
        <v>56.946489936180654</v>
      </c>
      <c r="H68" s="48">
        <f>H$64/'Exhibit 1'!$D32</f>
        <v>77.826869579446893</v>
      </c>
    </row>
    <row r="69" spans="1:8">
      <c r="A69" s="42" t="s">
        <v>40</v>
      </c>
      <c r="B69" s="21"/>
      <c r="C69" s="21"/>
      <c r="D69" s="21"/>
      <c r="E69" s="49"/>
      <c r="F69" s="21"/>
      <c r="G69" s="49">
        <f>G$64/'Exhibit 1'!$D33</f>
        <v>101.19220703692935</v>
      </c>
      <c r="H69" s="49">
        <f>H$64/'Exhibit 1'!$D33</f>
        <v>138.29601628380343</v>
      </c>
    </row>
    <row r="72" spans="1:8">
      <c r="A72" s="42" t="s">
        <v>43</v>
      </c>
      <c r="B72" s="21"/>
      <c r="C72" s="21"/>
      <c r="D72" s="21"/>
      <c r="E72" s="21"/>
      <c r="F72" s="21"/>
      <c r="G72" s="21"/>
      <c r="H72" s="21"/>
    </row>
    <row r="73" spans="1:8">
      <c r="A73" s="43" t="s">
        <v>35</v>
      </c>
      <c r="E73" s="44"/>
      <c r="H73" s="44">
        <v>12.5</v>
      </c>
    </row>
    <row r="74" spans="1:8">
      <c r="A74" s="43" t="s">
        <v>36</v>
      </c>
      <c r="E74" s="45"/>
      <c r="H74" s="92">
        <v>7700000</v>
      </c>
    </row>
    <row r="75" spans="1:8">
      <c r="A75" s="43" t="s">
        <v>37</v>
      </c>
      <c r="E75" s="31"/>
      <c r="H75" s="31">
        <f>+H73*H74</f>
        <v>96250000</v>
      </c>
    </row>
    <row r="76" spans="1:8">
      <c r="A76" s="43" t="s">
        <v>94</v>
      </c>
      <c r="E76" s="31"/>
      <c r="H76" s="31">
        <v>8000</v>
      </c>
    </row>
    <row r="78" spans="1:8">
      <c r="A78" s="43" t="s">
        <v>38</v>
      </c>
      <c r="E78" s="50"/>
      <c r="H78" s="50">
        <f>H$75/'Exhibit 1'!$D36</f>
        <v>2.9784007921772497</v>
      </c>
    </row>
    <row r="79" spans="1:8">
      <c r="A79" s="43" t="s">
        <v>39</v>
      </c>
      <c r="E79" s="50"/>
      <c r="H79" s="50">
        <f>H$75/'Exhibit 1'!$D37</f>
        <v>28.020378457059678</v>
      </c>
    </row>
    <row r="80" spans="1:8">
      <c r="A80" s="42" t="s">
        <v>40</v>
      </c>
      <c r="B80" s="21"/>
      <c r="C80" s="21"/>
      <c r="D80" s="21"/>
      <c r="E80" s="51"/>
      <c r="F80" s="21"/>
      <c r="G80" s="21"/>
      <c r="H80" s="51">
        <f>H$75/'Exhibit 1'!$D38</f>
        <v>-41.444552571069337</v>
      </c>
    </row>
    <row r="83" spans="1:8">
      <c r="A83" s="42" t="s">
        <v>44</v>
      </c>
      <c r="B83" s="21"/>
      <c r="C83" s="21"/>
      <c r="D83" s="21"/>
      <c r="E83" s="21"/>
      <c r="F83" s="21"/>
      <c r="G83" s="21"/>
      <c r="H83" s="21"/>
    </row>
    <row r="84" spans="1:8">
      <c r="A84" s="43" t="s">
        <v>37</v>
      </c>
      <c r="B84" s="16">
        <f t="shared" ref="B84:H84" si="2">+B9+B20+B31+B42+B53+B64+B75</f>
        <v>101560500</v>
      </c>
      <c r="C84" s="16">
        <f t="shared" si="2"/>
        <v>526642625</v>
      </c>
      <c r="D84" s="16">
        <f t="shared" si="2"/>
        <v>2208242250</v>
      </c>
      <c r="E84" s="16">
        <f t="shared" si="2"/>
        <v>2706881250</v>
      </c>
      <c r="F84" s="16">
        <f t="shared" si="2"/>
        <v>3711202250</v>
      </c>
      <c r="G84" s="16">
        <f t="shared" si="2"/>
        <v>4498893375</v>
      </c>
      <c r="H84" s="16">
        <f t="shared" si="2"/>
        <v>6661142000</v>
      </c>
    </row>
    <row r="86" spans="1:8">
      <c r="A86" s="43" t="s">
        <v>38</v>
      </c>
      <c r="B86" s="52">
        <f>+B$84/SUM('Exhibit 1'!$C6)</f>
        <v>0.54248057046710996</v>
      </c>
      <c r="C86" s="52">
        <f>+C$84/SUM('Exhibit 1'!$C6,'Exhibit 1'!$C11)</f>
        <v>1.8230371743480036</v>
      </c>
      <c r="D86" s="52">
        <f>+D$84/SUM('Exhibit 1'!$D6,'Exhibit 1'!$D11,'Exhibit 1'!$D16)</f>
        <v>3.341811417208441</v>
      </c>
      <c r="E86" s="52">
        <f>+E$84/SUM('Exhibit 1'!$D6,'Exhibit 1'!$D11,'Exhibit 1'!$D16,'Exhibit 1'!$D21)</f>
        <v>3.5690634851779137</v>
      </c>
      <c r="F86" s="52">
        <f>+F$84/SUM('Exhibit 1'!$D6,'Exhibit 1'!$D11,'Exhibit 1'!$D16,'Exhibit 1'!$D21,'Exhibit 1'!$D26)</f>
        <v>4.0167439089198025</v>
      </c>
      <c r="G86" s="52">
        <f>+G$84/SUM('Exhibit 1'!$D6,'Exhibit 1'!$D11,'Exhibit 1'!$D16,'Exhibit 1'!$D21,'Exhibit 1'!$D26,'Exhibit 1'!$D31)</f>
        <v>4.312965735124517</v>
      </c>
      <c r="H86" s="52">
        <f>+H$84/SUM('Exhibit 1'!$D6,'Exhibit 1'!$D11,'Exhibit 1'!$D16,'Exhibit 1'!$D21,'Exhibit 1'!$D26,'Exhibit 1'!$D31,'Exhibit 1'!$D36)</f>
        <v>6.1939623869632934</v>
      </c>
    </row>
    <row r="87" spans="1:8">
      <c r="A87" s="43" t="s">
        <v>39</v>
      </c>
      <c r="B87" s="52">
        <f>+B$84/SUM('Exhibit 1'!$C7)</f>
        <v>6.0094970414201185</v>
      </c>
      <c r="C87" s="52">
        <f>+C$84/SUM('Exhibit 1'!$C7,'Exhibit 1'!$C12)</f>
        <v>17.446007387285917</v>
      </c>
      <c r="D87" s="52">
        <f>+D$84/SUM('Exhibit 1'!$D7,'Exhibit 1'!$D12,'Exhibit 1'!$D17)</f>
        <v>27.682268618921665</v>
      </c>
      <c r="E87" s="52">
        <f>+E$84/SUM('Exhibit 1'!$D7,'Exhibit 1'!$D12,'Exhibit 1'!$D17,'Exhibit 1'!$D22)</f>
        <v>29.636520649032146</v>
      </c>
      <c r="F87" s="52">
        <f>+F$84/SUM('Exhibit 1'!$D7,'Exhibit 1'!$D12,'Exhibit 1'!$D17,'Exhibit 1'!$D22,'Exhibit 1'!$D27)</f>
        <v>32.398664751894401</v>
      </c>
      <c r="G87" s="52">
        <f>+G$84/SUM('Exhibit 1'!$D7,'Exhibit 1'!$D12,'Exhibit 1'!$D17,'Exhibit 1'!$D22,'Exhibit 1'!$D27,'Exhibit 1'!$D32)</f>
        <v>37.28601575514466</v>
      </c>
      <c r="H87" s="52">
        <f>+H$84/SUM('Exhibit 1'!$D7,'Exhibit 1'!$D12,'Exhibit 1'!$D17,'Exhibit 1'!$D22,'Exhibit 1'!$D27,'Exhibit 1'!$D32,'Exhibit 1'!$D37)</f>
        <v>53.678195561429241</v>
      </c>
    </row>
    <row r="88" spans="1:8">
      <c r="A88" s="42" t="s">
        <v>40</v>
      </c>
      <c r="B88" s="53">
        <f>+B$84/SUM('Exhibit 1'!$C8)</f>
        <v>10.470154639175258</v>
      </c>
      <c r="C88" s="53">
        <f>+C$84/SUM('Exhibit 1'!$C8,'Exhibit 1'!$C13)</f>
        <v>29.498830728729065</v>
      </c>
      <c r="D88" s="53">
        <f>+D$84/SUM('Exhibit 1'!$D8,'Exhibit 1'!$D13,'Exhibit 1'!$D18)</f>
        <v>56.325762046448375</v>
      </c>
      <c r="E88" s="53">
        <f>+E$84/SUM('Exhibit 1'!$D8,'Exhibit 1'!$D13,'Exhibit 1'!$D18,'Exhibit 1'!$D23)</f>
        <v>57.526101331986077</v>
      </c>
      <c r="F88" s="53">
        <f>+F$84/SUM('Exhibit 1'!$D8,'Exhibit 1'!$D13,'Exhibit 1'!$D18,'Exhibit 1'!$D23,'Exhibit 1'!$D28)</f>
        <v>61.028634185230693</v>
      </c>
      <c r="G88" s="53">
        <f>+G$84/SUM('Exhibit 1'!$D8,'Exhibit 1'!$D13,'Exhibit 1'!$D18,'Exhibit 1'!$D23,'Exhibit 1'!$D28,'Exhibit 1'!$D33)</f>
        <v>70.021865766543897</v>
      </c>
      <c r="H88" s="53">
        <f>+H$84/SUM('Exhibit 1'!$D8,'Exhibit 1'!$D13,'Exhibit 1'!$D18,'Exhibit 1'!$D23,'Exhibit 1'!$D28,'Exhibit 1'!$D33,'Exhibit 1'!$D38)</f>
        <v>107.56363100048928</v>
      </c>
    </row>
    <row r="91" spans="1:8">
      <c r="A91" s="54" t="s">
        <v>45</v>
      </c>
      <c r="B91" s="55"/>
    </row>
    <row r="92" spans="1:8">
      <c r="A92" s="43"/>
      <c r="B92" s="55"/>
    </row>
    <row r="93" spans="1:8">
      <c r="A93" s="43"/>
      <c r="B93" s="55"/>
    </row>
    <row r="96" spans="1:8">
      <c r="B96" s="38"/>
      <c r="C96" s="38"/>
      <c r="D96" s="38"/>
      <c r="E96" s="38"/>
      <c r="F96" s="38"/>
      <c r="G96" s="38"/>
      <c r="H96" s="38"/>
    </row>
    <row r="97" spans="2:9">
      <c r="B97" s="16"/>
      <c r="C97" s="16"/>
      <c r="D97" s="16"/>
      <c r="E97" s="16"/>
      <c r="F97" s="16"/>
      <c r="G97" s="16"/>
      <c r="H97" s="16"/>
    </row>
    <row r="98" spans="2:9">
      <c r="B98" s="33"/>
      <c r="C98" s="33"/>
      <c r="D98" s="33"/>
      <c r="E98" s="33"/>
      <c r="F98" s="33"/>
      <c r="G98" s="33"/>
      <c r="H98" s="33"/>
      <c r="I98" s="33"/>
    </row>
    <row r="100" spans="2:9">
      <c r="B100" s="56"/>
      <c r="C100" s="56"/>
      <c r="D100" s="56"/>
      <c r="E100" s="56"/>
      <c r="F100" s="56"/>
      <c r="G100" s="56"/>
      <c r="H100" s="56"/>
    </row>
    <row r="101" spans="2:9">
      <c r="B101" s="16"/>
      <c r="C101" s="16"/>
      <c r="D101" s="16"/>
      <c r="E101" s="16"/>
      <c r="F101" s="16"/>
      <c r="G101" s="16"/>
      <c r="H101" s="16"/>
    </row>
    <row r="102" spans="2:9">
      <c r="B102" s="33"/>
      <c r="C102" s="33"/>
      <c r="D102" s="33"/>
      <c r="E102" s="33"/>
      <c r="F102" s="33"/>
      <c r="G102" s="33"/>
      <c r="H102" s="33"/>
    </row>
    <row r="104" spans="2:9">
      <c r="C104" s="57"/>
      <c r="E104" s="57"/>
    </row>
    <row r="105" spans="2:9">
      <c r="B105" s="16"/>
      <c r="C105" s="16"/>
      <c r="D105" s="16"/>
      <c r="E105" s="16"/>
      <c r="F105" s="16"/>
      <c r="G105" s="16"/>
      <c r="H105" s="16"/>
    </row>
    <row r="106" spans="2:9">
      <c r="B106" s="33"/>
      <c r="C106" s="33"/>
      <c r="D106" s="33"/>
      <c r="E106" s="33"/>
      <c r="F106" s="33"/>
      <c r="G106" s="33"/>
      <c r="H106" s="33"/>
    </row>
  </sheetData>
  <customSheetViews>
    <customSheetView guid="{7F174012-B49F-11D3-9CA8-00C04FB61851}" showRuler="0">
      <pane xSplit="1" ySplit="4" topLeftCell="B61" activePane="bottomRight" state="frozen"/>
      <selection pane="bottomRight" activeCell="A78" sqref="A78"/>
      <pageMargins left="1" right="1" top="1" bottom="1" header="0.5" footer="0.5"/>
      <headerFooter alignWithMargins="0"/>
    </customSheetView>
  </customSheetViews>
  <phoneticPr fontId="0" type="noConversion"/>
  <pageMargins left="1" right="1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workbookViewId="0"/>
  </sheetViews>
  <sheetFormatPr defaultColWidth="8.85546875" defaultRowHeight="12.75"/>
  <cols>
    <col min="1" max="1" width="8.85546875" style="17" customWidth="1"/>
    <col min="2" max="2" width="19.5703125" style="65" customWidth="1"/>
    <col min="3" max="3" width="13.28515625" style="66" customWidth="1"/>
    <col min="4" max="4" width="9.42578125" style="67" customWidth="1"/>
    <col min="5" max="5" width="13.85546875" style="45" customWidth="1"/>
    <col min="6" max="6" width="14.7109375" style="31" customWidth="1"/>
    <col min="7" max="7" width="12" style="83" customWidth="1"/>
    <col min="8" max="8" width="4" style="17" customWidth="1"/>
    <col min="9" max="16384" width="8.85546875" style="17"/>
  </cols>
  <sheetData>
    <row r="1" spans="1:8" ht="15.75">
      <c r="A1" s="15" t="s">
        <v>96</v>
      </c>
      <c r="E1" s="107"/>
    </row>
    <row r="2" spans="1:8">
      <c r="E2" s="107"/>
    </row>
    <row r="4" spans="1:8">
      <c r="B4" s="68" t="s">
        <v>58</v>
      </c>
      <c r="C4" s="69" t="s">
        <v>59</v>
      </c>
      <c r="D4" s="70" t="s">
        <v>35</v>
      </c>
      <c r="E4" s="71" t="s">
        <v>46</v>
      </c>
      <c r="F4" s="72" t="s">
        <v>60</v>
      </c>
      <c r="G4" s="96" t="s">
        <v>93</v>
      </c>
      <c r="H4" s="110" t="s">
        <v>98</v>
      </c>
    </row>
    <row r="5" spans="1:8">
      <c r="A5" s="73"/>
      <c r="B5" s="65">
        <v>34858</v>
      </c>
      <c r="C5" s="66" t="s">
        <v>27</v>
      </c>
      <c r="D5" s="67">
        <v>13.5</v>
      </c>
      <c r="E5" s="45">
        <v>1900000</v>
      </c>
      <c r="F5" s="31">
        <f t="shared" ref="F5:F14" si="0">+D5*E5</f>
        <v>25650000</v>
      </c>
      <c r="H5" s="17">
        <v>1</v>
      </c>
    </row>
    <row r="6" spans="1:8">
      <c r="B6" s="65">
        <v>34982</v>
      </c>
      <c r="C6" s="66" t="s">
        <v>28</v>
      </c>
      <c r="D6" s="67">
        <v>16</v>
      </c>
      <c r="E6" s="45">
        <v>13200000</v>
      </c>
      <c r="F6" s="31">
        <f t="shared" si="0"/>
        <v>211200000</v>
      </c>
      <c r="H6" s="17">
        <v>1</v>
      </c>
    </row>
    <row r="7" spans="1:8">
      <c r="A7" s="74"/>
      <c r="B7" s="65">
        <v>35097</v>
      </c>
      <c r="C7" s="66" t="s">
        <v>27</v>
      </c>
      <c r="D7" s="67">
        <v>33.25</v>
      </c>
      <c r="E7" s="45">
        <v>1700000</v>
      </c>
      <c r="F7" s="31">
        <f t="shared" si="0"/>
        <v>56525000</v>
      </c>
      <c r="H7" s="17">
        <v>0</v>
      </c>
    </row>
    <row r="8" spans="1:8">
      <c r="A8" s="74"/>
      <c r="B8" s="65">
        <v>35104</v>
      </c>
      <c r="C8" s="66" t="s">
        <v>28</v>
      </c>
      <c r="D8" s="67">
        <v>45</v>
      </c>
      <c r="E8" s="45">
        <v>3000000</v>
      </c>
      <c r="F8" s="31">
        <f t="shared" si="0"/>
        <v>135000000</v>
      </c>
      <c r="H8" s="17">
        <v>0</v>
      </c>
    </row>
    <row r="9" spans="1:8">
      <c r="B9" s="65">
        <v>35229</v>
      </c>
      <c r="C9" s="66" t="s">
        <v>29</v>
      </c>
      <c r="D9" s="67">
        <v>16</v>
      </c>
      <c r="E9" s="45">
        <v>2500000</v>
      </c>
      <c r="F9" s="31">
        <f t="shared" si="0"/>
        <v>40000000</v>
      </c>
      <c r="G9" s="83">
        <v>88400</v>
      </c>
      <c r="H9" s="17">
        <v>1</v>
      </c>
    </row>
    <row r="10" spans="1:8">
      <c r="B10" s="65">
        <v>35262</v>
      </c>
      <c r="C10" s="66" t="s">
        <v>33</v>
      </c>
      <c r="D10" s="67">
        <v>14.5</v>
      </c>
      <c r="E10" s="45">
        <v>4000000</v>
      </c>
      <c r="F10" s="31">
        <f>+D10*E10</f>
        <v>58000000</v>
      </c>
      <c r="G10" s="83">
        <v>400000</v>
      </c>
      <c r="H10" s="17">
        <v>1</v>
      </c>
    </row>
    <row r="11" spans="1:8">
      <c r="B11" s="65">
        <v>35277</v>
      </c>
      <c r="C11" s="66" t="s">
        <v>30</v>
      </c>
      <c r="D11" s="67">
        <v>14.5</v>
      </c>
      <c r="E11" s="45">
        <v>6220000</v>
      </c>
      <c r="F11" s="31">
        <f t="shared" si="0"/>
        <v>90190000</v>
      </c>
      <c r="G11" s="83">
        <v>2220000</v>
      </c>
      <c r="H11" s="17">
        <v>1</v>
      </c>
    </row>
    <row r="12" spans="1:8">
      <c r="B12" s="65">
        <v>35284</v>
      </c>
      <c r="C12" s="66" t="s">
        <v>61</v>
      </c>
      <c r="D12" s="67">
        <v>15</v>
      </c>
      <c r="E12" s="45">
        <v>10620000</v>
      </c>
      <c r="F12" s="31">
        <f t="shared" si="0"/>
        <v>159300000</v>
      </c>
      <c r="G12" s="83">
        <v>334000</v>
      </c>
      <c r="H12" s="17">
        <v>1</v>
      </c>
    </row>
    <row r="13" spans="1:8">
      <c r="B13" s="65">
        <v>35326</v>
      </c>
      <c r="C13" s="66" t="s">
        <v>32</v>
      </c>
      <c r="D13" s="67">
        <v>12.5</v>
      </c>
      <c r="E13" s="45">
        <v>2800000</v>
      </c>
      <c r="F13" s="31">
        <f t="shared" si="0"/>
        <v>35000000</v>
      </c>
      <c r="G13" s="83">
        <v>0</v>
      </c>
      <c r="H13" s="17">
        <v>1</v>
      </c>
    </row>
    <row r="14" spans="1:8">
      <c r="B14" s="65">
        <v>35370</v>
      </c>
      <c r="C14" s="66" t="s">
        <v>30</v>
      </c>
      <c r="D14" s="67">
        <v>31</v>
      </c>
      <c r="E14" s="45">
        <v>4000000</v>
      </c>
      <c r="F14" s="31">
        <f t="shared" si="0"/>
        <v>124000000</v>
      </c>
      <c r="G14" s="83">
        <v>4000000</v>
      </c>
      <c r="H14" s="17">
        <v>0</v>
      </c>
    </row>
  </sheetData>
  <customSheetViews>
    <customSheetView guid="{7F174012-B49F-11D3-9CA8-00C04FB61851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6"/>
  <sheetViews>
    <sheetView workbookViewId="0"/>
  </sheetViews>
  <sheetFormatPr defaultColWidth="10.28515625" defaultRowHeight="12.75"/>
  <cols>
    <col min="1" max="1" width="32.7109375" style="2" customWidth="1"/>
    <col min="2" max="6" width="9.7109375" style="2" customWidth="1"/>
    <col min="7" max="7" width="5.7109375" style="2" customWidth="1"/>
    <col min="8" max="10" width="12.7109375" style="2" customWidth="1"/>
    <col min="11" max="11" width="14.7109375" style="2" customWidth="1"/>
    <col min="12" max="16384" width="10.28515625" style="2"/>
  </cols>
  <sheetData>
    <row r="1" spans="1:11" ht="15.75">
      <c r="A1" s="1" t="s">
        <v>120</v>
      </c>
    </row>
    <row r="2" spans="1:11">
      <c r="A2" s="2" t="s">
        <v>47</v>
      </c>
      <c r="B2" s="3" t="s">
        <v>1</v>
      </c>
      <c r="C2" s="3"/>
      <c r="D2" s="3"/>
      <c r="E2" s="3"/>
      <c r="F2" s="3"/>
      <c r="G2" s="3"/>
      <c r="H2" s="3"/>
      <c r="I2" s="3"/>
    </row>
    <row r="3" spans="1:11">
      <c r="B3" s="3" t="s">
        <v>2</v>
      </c>
      <c r="C3" s="3"/>
      <c r="D3" s="3"/>
      <c r="E3" s="3"/>
      <c r="F3" s="3"/>
      <c r="G3" s="3"/>
      <c r="H3" s="3"/>
      <c r="I3" s="3"/>
    </row>
    <row r="4" spans="1:11">
      <c r="G4" s="4"/>
    </row>
    <row r="5" spans="1:11">
      <c r="B5" s="93">
        <v>1991</v>
      </c>
      <c r="C5" s="93">
        <v>1992</v>
      </c>
      <c r="D5" s="93">
        <v>1993</v>
      </c>
      <c r="E5" s="93">
        <v>1994</v>
      </c>
      <c r="F5" s="93">
        <v>1995</v>
      </c>
      <c r="G5" s="94"/>
      <c r="H5" s="93">
        <v>1995</v>
      </c>
      <c r="I5" s="93">
        <v>1996</v>
      </c>
      <c r="J5" s="93" t="s">
        <v>79</v>
      </c>
    </row>
    <row r="6" spans="1:11">
      <c r="B6" s="5" t="s">
        <v>3</v>
      </c>
      <c r="C6" s="5"/>
      <c r="D6" s="5"/>
      <c r="E6" s="5"/>
      <c r="F6" s="5"/>
      <c r="G6" s="6"/>
      <c r="H6" s="5" t="s">
        <v>78</v>
      </c>
      <c r="I6" s="5"/>
      <c r="J6" s="5"/>
    </row>
    <row r="7" spans="1:11">
      <c r="G7" s="4"/>
    </row>
    <row r="8" spans="1:11">
      <c r="A8" s="7" t="s">
        <v>48</v>
      </c>
      <c r="B8" s="12">
        <v>69873</v>
      </c>
      <c r="C8" s="12">
        <v>101208</v>
      </c>
      <c r="D8" s="12">
        <v>142508</v>
      </c>
      <c r="E8" s="12">
        <v>186512</v>
      </c>
      <c r="F8" s="12">
        <v>256894</v>
      </c>
      <c r="G8" s="13"/>
      <c r="H8" s="12">
        <v>187332</v>
      </c>
      <c r="I8" s="12">
        <v>235188</v>
      </c>
      <c r="J8" s="12">
        <v>235188</v>
      </c>
      <c r="K8" s="84"/>
    </row>
    <row r="9" spans="1:11">
      <c r="A9" s="7" t="s">
        <v>49</v>
      </c>
      <c r="B9" s="12">
        <v>38579</v>
      </c>
      <c r="C9" s="12">
        <v>56181</v>
      </c>
      <c r="D9" s="12">
        <v>77785</v>
      </c>
      <c r="E9" s="12">
        <v>102707</v>
      </c>
      <c r="F9" s="12">
        <v>146531</v>
      </c>
      <c r="G9" s="13"/>
      <c r="H9" s="12">
        <v>106481</v>
      </c>
      <c r="I9" s="12">
        <v>134048</v>
      </c>
      <c r="J9" s="12">
        <v>134048</v>
      </c>
    </row>
    <row r="10" spans="1:11">
      <c r="A10" s="7" t="s">
        <v>50</v>
      </c>
      <c r="B10" s="12">
        <v>21675</v>
      </c>
      <c r="C10" s="12">
        <v>32789</v>
      </c>
      <c r="D10" s="12">
        <v>45041</v>
      </c>
      <c r="E10" s="12">
        <v>51904</v>
      </c>
      <c r="F10" s="12">
        <v>70575</v>
      </c>
      <c r="G10" s="13"/>
      <c r="H10" s="12">
        <v>49887</v>
      </c>
      <c r="I10" s="12">
        <v>63071</v>
      </c>
      <c r="J10" s="12">
        <v>64334</v>
      </c>
    </row>
    <row r="11" spans="1:11">
      <c r="A11" s="7" t="s">
        <v>51</v>
      </c>
      <c r="B11" s="12"/>
      <c r="C11" s="12"/>
      <c r="D11" s="12">
        <v>4400</v>
      </c>
      <c r="E11" s="12"/>
      <c r="F11" s="12"/>
      <c r="G11" s="35"/>
      <c r="H11" s="12"/>
      <c r="I11" s="12"/>
      <c r="J11" s="12"/>
    </row>
    <row r="12" spans="1:11">
      <c r="A12" s="7" t="s">
        <v>52</v>
      </c>
      <c r="B12" s="58">
        <f>+B8-B9-B10-B11</f>
        <v>9619</v>
      </c>
      <c r="C12" s="58">
        <f>+C8-C9-C10-C11</f>
        <v>12238</v>
      </c>
      <c r="D12" s="58">
        <f>+D8-D9-D10-D11</f>
        <v>15282</v>
      </c>
      <c r="E12" s="58">
        <f>+E8-E9-E10-E11</f>
        <v>31901</v>
      </c>
      <c r="F12" s="58">
        <f>+F8-F9-F10-F11</f>
        <v>39788</v>
      </c>
      <c r="G12" s="58"/>
      <c r="H12" s="58">
        <f>+H8-H9-H10-H11</f>
        <v>30964</v>
      </c>
      <c r="I12" s="58">
        <f>+I8-I9-I10-I11</f>
        <v>38069</v>
      </c>
      <c r="J12" s="58">
        <f>+J8-J9-J10-J11</f>
        <v>36806</v>
      </c>
    </row>
    <row r="13" spans="1:11">
      <c r="A13" s="7"/>
      <c r="B13" s="35"/>
      <c r="C13" s="35"/>
      <c r="D13" s="35"/>
      <c r="E13" s="35"/>
      <c r="F13" s="35"/>
      <c r="G13" s="13"/>
      <c r="H13" s="35"/>
      <c r="I13" s="35"/>
      <c r="J13" s="35"/>
    </row>
    <row r="14" spans="1:11">
      <c r="A14" s="7" t="s">
        <v>53</v>
      </c>
      <c r="B14" s="26">
        <v>-704</v>
      </c>
      <c r="C14" s="26">
        <v>-600</v>
      </c>
      <c r="D14" s="26">
        <v>-1020</v>
      </c>
      <c r="E14" s="26">
        <v>-1195</v>
      </c>
      <c r="F14" s="26">
        <v>-3050</v>
      </c>
      <c r="G14" s="13"/>
      <c r="H14" s="26">
        <v>-2241</v>
      </c>
      <c r="I14" s="26">
        <v>-2089</v>
      </c>
      <c r="J14" s="26">
        <v>-2089</v>
      </c>
    </row>
    <row r="15" spans="1:11">
      <c r="A15" s="7" t="s">
        <v>80</v>
      </c>
      <c r="B15" s="12">
        <f>+B12+B14</f>
        <v>8915</v>
      </c>
      <c r="C15" s="12">
        <f>+C12+C14</f>
        <v>11638</v>
      </c>
      <c r="D15" s="12">
        <f>+D12+D14</f>
        <v>14262</v>
      </c>
      <c r="E15" s="12">
        <f>+E12+E14</f>
        <v>30706</v>
      </c>
      <c r="F15" s="12">
        <f>+F12+F14</f>
        <v>36738</v>
      </c>
      <c r="G15" s="13"/>
      <c r="H15" s="12">
        <f>+H12+H14</f>
        <v>28723</v>
      </c>
      <c r="I15" s="12">
        <f>+I12+I14</f>
        <v>35980</v>
      </c>
      <c r="J15" s="12">
        <f>+J12+J14</f>
        <v>34717</v>
      </c>
    </row>
    <row r="16" spans="1:11">
      <c r="A16" s="7"/>
      <c r="B16" s="12"/>
      <c r="C16" s="12"/>
      <c r="D16" s="12"/>
      <c r="E16" s="12"/>
      <c r="F16" s="12"/>
      <c r="G16" s="13"/>
      <c r="H16" s="12"/>
      <c r="I16" s="12"/>
      <c r="J16" s="12"/>
    </row>
    <row r="17" spans="1:10">
      <c r="A17" s="7" t="s">
        <v>81</v>
      </c>
      <c r="B17" s="26">
        <v>2326</v>
      </c>
      <c r="C17" s="26">
        <v>2832</v>
      </c>
      <c r="D17" s="26">
        <v>5234</v>
      </c>
      <c r="E17" s="26">
        <v>10900</v>
      </c>
      <c r="F17" s="26">
        <v>13130</v>
      </c>
      <c r="G17" s="13"/>
      <c r="H17" s="26">
        <v>10404</v>
      </c>
      <c r="I17" s="26">
        <v>12740</v>
      </c>
      <c r="J17" s="26">
        <v>12740</v>
      </c>
    </row>
    <row r="18" spans="1:10" ht="13.5" thickBot="1">
      <c r="A18" s="7" t="s">
        <v>54</v>
      </c>
      <c r="B18" s="59">
        <f>+B15-B17</f>
        <v>6589</v>
      </c>
      <c r="C18" s="59">
        <f>+C15-C17</f>
        <v>8806</v>
      </c>
      <c r="D18" s="59">
        <f>+D15-D17</f>
        <v>9028</v>
      </c>
      <c r="E18" s="59">
        <f>+E15-E17</f>
        <v>19806</v>
      </c>
      <c r="F18" s="59">
        <f>+F15-F17</f>
        <v>23608</v>
      </c>
      <c r="G18" s="13"/>
      <c r="H18" s="59">
        <f>+H15-H17</f>
        <v>18319</v>
      </c>
      <c r="I18" s="59">
        <f>+I15-I17</f>
        <v>23240</v>
      </c>
      <c r="J18" s="59">
        <f>+J15-J17</f>
        <v>21977</v>
      </c>
    </row>
    <row r="19" spans="1:10" ht="13.5" thickTop="1">
      <c r="B19" s="60"/>
      <c r="C19" s="60"/>
      <c r="D19" s="60"/>
      <c r="E19" s="60"/>
      <c r="F19" s="60"/>
      <c r="G19" s="13"/>
      <c r="H19" s="60"/>
      <c r="I19" s="60"/>
    </row>
    <row r="20" spans="1:10">
      <c r="A20" s="7" t="s">
        <v>105</v>
      </c>
      <c r="B20" s="60"/>
      <c r="C20" s="60"/>
      <c r="D20" s="60"/>
      <c r="E20" s="60"/>
      <c r="F20" s="60">
        <v>57630</v>
      </c>
      <c r="G20" s="13"/>
      <c r="H20" s="60"/>
      <c r="I20" s="60">
        <v>57630</v>
      </c>
      <c r="J20" s="16">
        <v>63330</v>
      </c>
    </row>
    <row r="21" spans="1:10">
      <c r="A21" s="7"/>
      <c r="B21" s="60"/>
      <c r="C21" s="60"/>
      <c r="D21" s="60"/>
      <c r="E21" s="60"/>
      <c r="F21" s="60"/>
      <c r="G21" s="13"/>
      <c r="H21" s="60"/>
      <c r="I21" s="60"/>
    </row>
    <row r="22" spans="1:10">
      <c r="B22" s="60"/>
      <c r="C22" s="60"/>
      <c r="D22" s="60"/>
      <c r="E22" s="60"/>
      <c r="F22" s="60"/>
      <c r="G22" s="13"/>
      <c r="H22" s="60"/>
      <c r="I22" s="60"/>
    </row>
    <row r="23" spans="1:10">
      <c r="A23" s="61" t="s">
        <v>55</v>
      </c>
      <c r="B23" s="60"/>
      <c r="C23" s="60"/>
      <c r="D23" s="60"/>
      <c r="E23" s="60"/>
      <c r="F23" s="60"/>
      <c r="G23" s="13"/>
      <c r="H23" s="60"/>
      <c r="I23" s="60"/>
    </row>
    <row r="24" spans="1:10">
      <c r="A24" s="7" t="s">
        <v>56</v>
      </c>
      <c r="B24" s="32">
        <v>0.13800000000000001</v>
      </c>
      <c r="C24" s="64">
        <v>0.121</v>
      </c>
      <c r="D24" s="32">
        <v>0.107</v>
      </c>
      <c r="E24" s="32">
        <v>0.17100000000000001</v>
      </c>
      <c r="F24" s="32">
        <v>0.155</v>
      </c>
      <c r="G24" s="62"/>
      <c r="H24" s="32">
        <v>0.16500000000000001</v>
      </c>
      <c r="I24" s="32">
        <v>0.16200000000000001</v>
      </c>
    </row>
    <row r="25" spans="1:10">
      <c r="A25" s="7" t="s">
        <v>57</v>
      </c>
      <c r="B25" s="12">
        <v>973</v>
      </c>
      <c r="C25" s="12">
        <v>1693</v>
      </c>
      <c r="D25" s="12">
        <v>2095</v>
      </c>
      <c r="E25" s="12">
        <v>2228</v>
      </c>
      <c r="F25" s="12">
        <v>3158</v>
      </c>
      <c r="G25" s="13"/>
      <c r="H25" s="12">
        <v>2894</v>
      </c>
      <c r="I25" s="12">
        <v>4015</v>
      </c>
    </row>
    <row r="26" spans="1:10">
      <c r="A26" s="7" t="s">
        <v>82</v>
      </c>
      <c r="B26" s="12">
        <v>1380</v>
      </c>
      <c r="C26" s="12">
        <v>2070</v>
      </c>
      <c r="D26" s="12">
        <v>2530</v>
      </c>
      <c r="E26" s="12">
        <v>3496</v>
      </c>
      <c r="F26" s="12">
        <v>3870</v>
      </c>
      <c r="G26" s="13"/>
      <c r="H26" s="12">
        <v>3496</v>
      </c>
      <c r="I26" s="12">
        <v>5372</v>
      </c>
    </row>
    <row r="27" spans="1:10">
      <c r="A27" s="7"/>
      <c r="B27" s="12"/>
      <c r="C27" s="12"/>
      <c r="D27" s="12"/>
      <c r="E27" s="12"/>
      <c r="F27" s="12"/>
      <c r="G27" s="13"/>
      <c r="H27" s="12"/>
      <c r="I27" s="12"/>
    </row>
    <row r="28" spans="1:10">
      <c r="G28" s="4"/>
    </row>
    <row r="29" spans="1:10">
      <c r="A29" s="63" t="s">
        <v>97</v>
      </c>
      <c r="G29" s="4"/>
    </row>
    <row r="31" spans="1:10">
      <c r="A31" s="2" t="s">
        <v>7</v>
      </c>
    </row>
    <row r="32" spans="1:10">
      <c r="A32" s="90" t="s">
        <v>74</v>
      </c>
    </row>
    <row r="33" spans="1:1">
      <c r="A33" s="90" t="s">
        <v>75</v>
      </c>
    </row>
    <row r="34" spans="1:1">
      <c r="A34" s="90" t="s">
        <v>76</v>
      </c>
    </row>
    <row r="35" spans="1:1">
      <c r="A35" s="90" t="s">
        <v>77</v>
      </c>
    </row>
    <row r="36" spans="1:1">
      <c r="A36" s="90"/>
    </row>
  </sheetData>
  <customSheetViews>
    <customSheetView guid="{7F174012-B49F-11D3-9CA8-00C04FB61851}" showRuler="0" topLeftCell="A9">
      <selection activeCell="B23" sqref="B23"/>
      <pageMargins left="1" right="1" top="1" bottom="1" header="0.5" footer="0.5"/>
      <pageSetup orientation="landscape" horizontalDpi="0" r:id="rId1"/>
      <headerFooter alignWithMargins="0"/>
    </customSheetView>
  </customSheetViews>
  <phoneticPr fontId="0" type="noConversion"/>
  <pageMargins left="1" right="1" top="1" bottom="1" header="0.5" footer="0.5"/>
  <pageSetup orientation="landscape" horizontalDpi="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2"/>
  <sheetViews>
    <sheetView workbookViewId="0"/>
  </sheetViews>
  <sheetFormatPr defaultColWidth="10.28515625" defaultRowHeight="12.75"/>
  <cols>
    <col min="1" max="1" width="30.28515625" style="2" customWidth="1"/>
    <col min="2" max="6" width="10.7109375" style="2" customWidth="1"/>
    <col min="7" max="7" width="5.7109375" style="2" customWidth="1"/>
    <col min="8" max="10" width="12.7109375" style="2" customWidth="1"/>
    <col min="11" max="11" width="14.7109375" style="2" customWidth="1"/>
    <col min="12" max="16384" width="10.28515625" style="2"/>
  </cols>
  <sheetData>
    <row r="1" spans="1:13" ht="15.75">
      <c r="A1" s="1" t="s">
        <v>119</v>
      </c>
    </row>
    <row r="2" spans="1:13">
      <c r="A2" s="90" t="s">
        <v>0</v>
      </c>
      <c r="B2" s="3" t="s">
        <v>1</v>
      </c>
      <c r="C2" s="3"/>
      <c r="D2" s="3"/>
      <c r="E2" s="3"/>
      <c r="F2" s="3"/>
      <c r="G2" s="3"/>
      <c r="H2" s="3"/>
      <c r="I2" s="3"/>
    </row>
    <row r="3" spans="1:13">
      <c r="B3" s="3" t="s">
        <v>2</v>
      </c>
      <c r="C3" s="3"/>
      <c r="D3" s="3"/>
      <c r="E3" s="3"/>
      <c r="F3" s="3"/>
      <c r="G3" s="3"/>
      <c r="H3" s="3"/>
      <c r="I3" s="3"/>
    </row>
    <row r="4" spans="1:13">
      <c r="G4" s="4"/>
    </row>
    <row r="5" spans="1:13">
      <c r="B5" s="93">
        <v>1991</v>
      </c>
      <c r="C5" s="93">
        <v>1992</v>
      </c>
      <c r="D5" s="93">
        <v>1993</v>
      </c>
      <c r="E5" s="93">
        <v>1994</v>
      </c>
      <c r="F5" s="93">
        <v>1995</v>
      </c>
      <c r="G5" s="94"/>
      <c r="H5" s="93">
        <v>1996</v>
      </c>
      <c r="I5" s="93">
        <v>1996</v>
      </c>
      <c r="J5" s="93">
        <v>1996</v>
      </c>
    </row>
    <row r="6" spans="1:13">
      <c r="B6" s="5" t="s">
        <v>3</v>
      </c>
      <c r="C6" s="5"/>
      <c r="D6" s="5"/>
      <c r="E6" s="5"/>
      <c r="F6" s="5"/>
      <c r="G6" s="6"/>
      <c r="H6" s="8" t="s">
        <v>106</v>
      </c>
      <c r="I6" s="8" t="s">
        <v>83</v>
      </c>
      <c r="J6" s="8" t="s">
        <v>84</v>
      </c>
    </row>
    <row r="7" spans="1:13">
      <c r="A7" s="7"/>
      <c r="G7" s="4"/>
      <c r="H7" s="5" t="s">
        <v>78</v>
      </c>
      <c r="I7" s="5"/>
      <c r="J7" s="5"/>
    </row>
    <row r="8" spans="1:13">
      <c r="G8" s="4"/>
    </row>
    <row r="9" spans="1:13">
      <c r="A9" s="7" t="s">
        <v>107</v>
      </c>
      <c r="B9" s="10">
        <v>38</v>
      </c>
      <c r="C9" s="10">
        <v>-4905</v>
      </c>
      <c r="D9" s="10">
        <v>-4742</v>
      </c>
      <c r="E9" s="10">
        <v>5408</v>
      </c>
      <c r="F9" s="10">
        <v>6550</v>
      </c>
      <c r="G9" s="11"/>
      <c r="H9" s="10">
        <v>-840</v>
      </c>
      <c r="I9" s="10">
        <v>-2840</v>
      </c>
      <c r="J9" s="10">
        <v>34957</v>
      </c>
      <c r="K9" s="102"/>
      <c r="L9" s="102"/>
      <c r="M9" s="4"/>
    </row>
    <row r="10" spans="1:13">
      <c r="A10" s="7" t="s">
        <v>4</v>
      </c>
      <c r="B10" s="12">
        <v>13833</v>
      </c>
      <c r="C10" s="12">
        <v>21587</v>
      </c>
      <c r="D10" s="12">
        <v>26396</v>
      </c>
      <c r="E10" s="12">
        <v>30820</v>
      </c>
      <c r="F10" s="12">
        <v>45889</v>
      </c>
      <c r="G10" s="13"/>
      <c r="H10" s="12">
        <v>62709</v>
      </c>
      <c r="I10" s="12">
        <v>62709</v>
      </c>
      <c r="J10" s="12">
        <v>62709</v>
      </c>
    </row>
    <row r="11" spans="1:13">
      <c r="A11" s="7" t="s">
        <v>5</v>
      </c>
      <c r="B11" s="12">
        <v>33198</v>
      </c>
      <c r="C11" s="12">
        <v>49546</v>
      </c>
      <c r="D11" s="12">
        <v>60225</v>
      </c>
      <c r="E11" s="12">
        <v>88880</v>
      </c>
      <c r="F11" s="12">
        <v>123452</v>
      </c>
      <c r="G11" s="13"/>
      <c r="H11" s="12">
        <v>142368</v>
      </c>
      <c r="I11" s="12">
        <v>140368</v>
      </c>
      <c r="J11" s="12">
        <v>216249</v>
      </c>
    </row>
    <row r="12" spans="1:13">
      <c r="A12" s="7"/>
      <c r="B12" s="12"/>
      <c r="C12" s="12"/>
      <c r="D12" s="12"/>
      <c r="E12" s="12"/>
      <c r="F12" s="12"/>
      <c r="G12" s="13"/>
      <c r="H12" s="12"/>
      <c r="I12" s="12"/>
      <c r="J12" s="12"/>
    </row>
    <row r="13" spans="1:13">
      <c r="A13" s="7" t="s">
        <v>86</v>
      </c>
      <c r="B13" s="12">
        <v>17581</v>
      </c>
      <c r="C13" s="12">
        <v>26195</v>
      </c>
      <c r="D13" s="12">
        <v>23913</v>
      </c>
      <c r="E13" s="12">
        <v>32608</v>
      </c>
      <c r="F13" s="12">
        <v>41743</v>
      </c>
      <c r="G13" s="13"/>
      <c r="H13" s="12">
        <v>47413</v>
      </c>
      <c r="I13" s="12">
        <v>91292</v>
      </c>
      <c r="J13" s="12">
        <v>23151</v>
      </c>
    </row>
    <row r="14" spans="1:13">
      <c r="A14" s="7" t="s">
        <v>6</v>
      </c>
      <c r="B14" s="12">
        <v>6488</v>
      </c>
      <c r="C14" s="12">
        <v>10047</v>
      </c>
      <c r="D14" s="12">
        <v>13850</v>
      </c>
      <c r="E14" s="12">
        <v>28593</v>
      </c>
      <c r="F14" s="12">
        <v>40218</v>
      </c>
      <c r="G14" s="13"/>
      <c r="H14" s="12">
        <v>45797</v>
      </c>
      <c r="I14" s="12">
        <v>-2157</v>
      </c>
      <c r="J14" s="12">
        <v>141867</v>
      </c>
    </row>
    <row r="15" spans="1:13">
      <c r="G15" s="4"/>
    </row>
    <row r="16" spans="1:13">
      <c r="A16" s="90" t="s">
        <v>85</v>
      </c>
      <c r="G16" s="4"/>
    </row>
    <row r="17" spans="1:1">
      <c r="A17" s="90" t="s">
        <v>87</v>
      </c>
    </row>
    <row r="18" spans="1:1">
      <c r="A18" s="90" t="s">
        <v>89</v>
      </c>
    </row>
    <row r="19" spans="1:1">
      <c r="A19" s="90" t="s">
        <v>88</v>
      </c>
    </row>
    <row r="20" spans="1:1">
      <c r="A20" s="90" t="s">
        <v>90</v>
      </c>
    </row>
    <row r="21" spans="1:1">
      <c r="A21" s="90" t="s">
        <v>92</v>
      </c>
    </row>
    <row r="22" spans="1:1">
      <c r="A22" s="90" t="s">
        <v>91</v>
      </c>
    </row>
  </sheetData>
  <customSheetViews>
    <customSheetView guid="{7F174012-B49F-11D3-9CA8-00C04FB61851}" showRuler="0">
      <selection activeCell="A8" sqref="A8"/>
      <pageMargins left="1" right="1" top="1" bottom="1" header="0.5" footer="0.5"/>
      <pageSetup orientation="landscape" horizontalDpi="0" r:id="rId1"/>
      <headerFooter alignWithMargins="0"/>
    </customSheetView>
  </customSheetViews>
  <phoneticPr fontId="0" type="noConversion"/>
  <pageMargins left="1" right="1" top="1" bottom="1" header="0.5" footer="0.5"/>
  <pageSetup orientation="landscape" horizontalDpi="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10.28515625" defaultRowHeight="12.75"/>
  <cols>
    <col min="1" max="1" width="35.7109375" style="17" customWidth="1"/>
    <col min="2" max="9" width="12.7109375" style="17" customWidth="1"/>
    <col min="10" max="10" width="10.7109375" style="17" customWidth="1"/>
    <col min="11" max="11" width="12.7109375" style="17" customWidth="1"/>
    <col min="12" max="16384" width="10.28515625" style="17"/>
  </cols>
  <sheetData>
    <row r="1" spans="1:11" ht="15.75">
      <c r="A1" s="15" t="s">
        <v>118</v>
      </c>
      <c r="B1" s="15"/>
    </row>
    <row r="2" spans="1:11">
      <c r="A2" s="75" t="s">
        <v>65</v>
      </c>
      <c r="B2" s="75"/>
    </row>
    <row r="3" spans="1:11">
      <c r="A3" s="9"/>
      <c r="B3" s="9"/>
    </row>
    <row r="4" spans="1:11">
      <c r="A4" s="77" t="s">
        <v>62</v>
      </c>
      <c r="B4" s="81" t="s">
        <v>115</v>
      </c>
      <c r="C4" s="81" t="s">
        <v>116</v>
      </c>
      <c r="D4" s="82" t="s">
        <v>117</v>
      </c>
      <c r="E4" s="81" t="s">
        <v>110</v>
      </c>
      <c r="F4" s="81" t="s">
        <v>111</v>
      </c>
      <c r="G4" s="81" t="s">
        <v>112</v>
      </c>
      <c r="H4" s="81" t="s">
        <v>113</v>
      </c>
      <c r="I4" s="81" t="s">
        <v>114</v>
      </c>
      <c r="K4" s="81">
        <v>2002</v>
      </c>
    </row>
    <row r="5" spans="1:11">
      <c r="D5" s="79"/>
    </row>
    <row r="6" spans="1:11">
      <c r="A6" s="43" t="s">
        <v>63</v>
      </c>
      <c r="B6" s="91">
        <v>68000000</v>
      </c>
      <c r="C6" s="78">
        <v>77000000</v>
      </c>
      <c r="D6" s="80">
        <v>80000000</v>
      </c>
      <c r="E6" s="45"/>
      <c r="F6" s="45"/>
      <c r="G6" s="45"/>
      <c r="H6" s="45"/>
      <c r="I6" s="45"/>
      <c r="J6" s="45"/>
    </row>
    <row r="7" spans="1:11" s="75" customFormat="1" ht="11.25">
      <c r="A7" s="75" t="s">
        <v>64</v>
      </c>
      <c r="C7" s="113">
        <f>+(C6/B6)-1</f>
        <v>0.13235294117647056</v>
      </c>
      <c r="D7" s="114">
        <f>+(D6/C6)-1</f>
        <v>3.8961038961038863E-2</v>
      </c>
      <c r="E7" s="115"/>
      <c r="F7" s="115"/>
      <c r="G7" s="115"/>
      <c r="H7" s="115"/>
      <c r="I7" s="115"/>
    </row>
    <row r="8" spans="1:11">
      <c r="A8" s="43" t="s">
        <v>66</v>
      </c>
      <c r="B8" s="91">
        <v>2500000</v>
      </c>
      <c r="C8" s="78">
        <v>3850000</v>
      </c>
      <c r="D8" s="80">
        <v>5700000</v>
      </c>
      <c r="E8" s="45"/>
      <c r="F8" s="45"/>
      <c r="G8" s="45"/>
      <c r="H8" s="45"/>
      <c r="I8" s="45"/>
    </row>
    <row r="9" spans="1:11" s="75" customFormat="1" ht="11.25">
      <c r="A9" s="75" t="s">
        <v>95</v>
      </c>
      <c r="B9" s="116">
        <f>+B8/B6</f>
        <v>3.6764705882352942E-2</v>
      </c>
      <c r="C9" s="116">
        <f>+C8/C6</f>
        <v>0.05</v>
      </c>
      <c r="D9" s="114">
        <f>+D8/D6</f>
        <v>7.1249999999999994E-2</v>
      </c>
      <c r="E9" s="116"/>
      <c r="F9" s="116"/>
      <c r="G9" s="116"/>
      <c r="H9" s="116"/>
      <c r="I9" s="116"/>
    </row>
    <row r="10" spans="1:11" s="75" customFormat="1" ht="11.25">
      <c r="A10" s="75" t="s">
        <v>67</v>
      </c>
      <c r="C10" s="113">
        <f>+(C8/B8)-1</f>
        <v>0.54</v>
      </c>
      <c r="D10" s="114">
        <f>+(D8/C8)-1</f>
        <v>0.48051948051948057</v>
      </c>
      <c r="E10" s="115"/>
      <c r="F10" s="117"/>
      <c r="G10" s="117"/>
      <c r="H10" s="117"/>
      <c r="I10" s="117"/>
    </row>
    <row r="11" spans="1:11">
      <c r="A11" s="43" t="s">
        <v>72</v>
      </c>
      <c r="B11" s="105">
        <v>186512</v>
      </c>
      <c r="C11" s="78">
        <v>256894</v>
      </c>
      <c r="D11" s="80">
        <v>325000</v>
      </c>
      <c r="E11" s="112"/>
      <c r="F11" s="45"/>
      <c r="G11" s="45"/>
      <c r="H11" s="45"/>
      <c r="I11" s="45"/>
      <c r="K11" s="84"/>
    </row>
    <row r="12" spans="1:11" s="75" customFormat="1" ht="11.25">
      <c r="A12" s="54" t="s">
        <v>67</v>
      </c>
      <c r="B12" s="54"/>
      <c r="C12" s="118">
        <f>+(C11/B11)-1</f>
        <v>0.37735909753795993</v>
      </c>
      <c r="D12" s="119">
        <f>+(D11/C11)-1</f>
        <v>0.26511323736638448</v>
      </c>
      <c r="E12" s="120"/>
      <c r="F12" s="121"/>
      <c r="G12" s="121"/>
      <c r="H12" s="121"/>
      <c r="I12" s="121"/>
    </row>
    <row r="13" spans="1:11" s="75" customFormat="1" ht="11.25">
      <c r="A13" s="54" t="s">
        <v>68</v>
      </c>
      <c r="B13" s="54"/>
      <c r="C13" s="120">
        <f>+C11/C8</f>
        <v>6.6725714285714291E-2</v>
      </c>
      <c r="D13" s="119">
        <f>+D11/D8</f>
        <v>5.701754385964912E-2</v>
      </c>
      <c r="E13" s="120"/>
      <c r="F13" s="120"/>
      <c r="G13" s="120"/>
      <c r="H13" s="120"/>
      <c r="I13" s="120"/>
    </row>
    <row r="14" spans="1:11">
      <c r="A14" s="9"/>
      <c r="B14" s="9"/>
    </row>
    <row r="15" spans="1:11">
      <c r="A15" s="77" t="s">
        <v>71</v>
      </c>
      <c r="B15" s="81">
        <v>1994</v>
      </c>
      <c r="C15" s="81">
        <v>1995</v>
      </c>
      <c r="D15" s="82">
        <v>1996</v>
      </c>
      <c r="E15" s="81" t="str">
        <f>E4</f>
        <v>1997E</v>
      </c>
      <c r="F15" s="81" t="str">
        <f>F4</f>
        <v>1998E</v>
      </c>
      <c r="G15" s="81" t="str">
        <f>G4</f>
        <v>1999E</v>
      </c>
      <c r="H15" s="81" t="str">
        <f>H4</f>
        <v>2000E</v>
      </c>
      <c r="I15" s="81" t="str">
        <f>I4</f>
        <v>2001E</v>
      </c>
      <c r="K15" s="81">
        <v>2002</v>
      </c>
    </row>
    <row r="16" spans="1:11">
      <c r="A16" s="43" t="s">
        <v>12</v>
      </c>
      <c r="B16" s="91">
        <v>31901</v>
      </c>
      <c r="C16" s="85">
        <v>39788</v>
      </c>
      <c r="D16" s="86">
        <v>49331</v>
      </c>
      <c r="E16" s="83"/>
      <c r="F16" s="83"/>
      <c r="G16" s="83"/>
      <c r="H16" s="83"/>
      <c r="I16" s="83"/>
      <c r="K16" s="84"/>
    </row>
    <row r="17" spans="1:11" s="75" customFormat="1" ht="11.25">
      <c r="A17" s="54" t="s">
        <v>69</v>
      </c>
      <c r="B17" s="116">
        <f>+B16/B11</f>
        <v>0.17103993308741527</v>
      </c>
      <c r="C17" s="116">
        <f>+C16/C11</f>
        <v>0.15488100150256526</v>
      </c>
      <c r="D17" s="114">
        <f>+D16/D11</f>
        <v>0.15178769230769232</v>
      </c>
      <c r="E17" s="115"/>
      <c r="F17" s="115"/>
      <c r="G17" s="115"/>
      <c r="H17" s="115"/>
      <c r="I17" s="115"/>
      <c r="J17" s="122"/>
      <c r="K17" s="123"/>
    </row>
    <row r="18" spans="1:11">
      <c r="A18" s="43" t="s">
        <v>13</v>
      </c>
      <c r="B18" s="91">
        <v>19806</v>
      </c>
      <c r="C18" s="85">
        <v>23608</v>
      </c>
      <c r="D18" s="86">
        <v>28748</v>
      </c>
      <c r="E18" s="83"/>
      <c r="F18" s="83"/>
      <c r="G18" s="83"/>
      <c r="H18" s="83"/>
      <c r="I18" s="83"/>
      <c r="K18" s="84"/>
    </row>
    <row r="19" spans="1:11" s="75" customFormat="1" ht="11.25">
      <c r="A19" s="75" t="s">
        <v>70</v>
      </c>
      <c r="B19" s="116">
        <f>+B18/B11</f>
        <v>0.10619155872008236</v>
      </c>
      <c r="C19" s="116">
        <f>+C18/C11</f>
        <v>9.1897825562294172E-2</v>
      </c>
      <c r="D19" s="114">
        <f>+D18/D11</f>
        <v>8.8455384615384616E-2</v>
      </c>
      <c r="E19" s="115"/>
      <c r="F19" s="115"/>
      <c r="G19" s="115"/>
      <c r="H19" s="115"/>
      <c r="I19" s="115"/>
      <c r="K19" s="123"/>
    </row>
    <row r="20" spans="1:11">
      <c r="A20" s="55"/>
      <c r="B20" s="108"/>
      <c r="C20" s="108"/>
      <c r="D20" s="109"/>
      <c r="E20" s="76"/>
      <c r="F20" s="76"/>
      <c r="G20" s="76"/>
      <c r="H20" s="76"/>
      <c r="I20" s="76"/>
      <c r="K20" s="84"/>
    </row>
    <row r="21" spans="1:11">
      <c r="A21" s="43" t="s">
        <v>99</v>
      </c>
      <c r="B21" s="102">
        <f>30820</f>
        <v>30820</v>
      </c>
      <c r="C21" s="102">
        <f>45889</f>
        <v>45889</v>
      </c>
      <c r="D21" s="86">
        <f>69025</f>
        <v>69025</v>
      </c>
      <c r="E21" s="83"/>
      <c r="F21" s="83"/>
      <c r="G21" s="83"/>
      <c r="H21" s="83"/>
      <c r="I21" s="83"/>
      <c r="K21" s="84"/>
    </row>
    <row r="22" spans="1:11">
      <c r="A22" s="43" t="s">
        <v>102</v>
      </c>
      <c r="B22" s="102">
        <f>5408</f>
        <v>5408</v>
      </c>
      <c r="C22" s="102">
        <f>6550</f>
        <v>6550</v>
      </c>
      <c r="D22" s="86">
        <f>46169-33204</f>
        <v>12965</v>
      </c>
      <c r="E22" s="83"/>
      <c r="F22" s="83"/>
      <c r="G22" s="83"/>
      <c r="H22" s="83"/>
      <c r="I22" s="83"/>
      <c r="K22" s="84"/>
    </row>
    <row r="23" spans="1:11">
      <c r="A23" s="43" t="s">
        <v>101</v>
      </c>
      <c r="B23" s="95">
        <f>B21+B22</f>
        <v>36228</v>
      </c>
      <c r="C23" s="95">
        <f>C21+C22</f>
        <v>52439</v>
      </c>
      <c r="D23" s="101">
        <f>D21+D22</f>
        <v>81990</v>
      </c>
      <c r="E23" s="95"/>
      <c r="F23" s="95"/>
      <c r="G23" s="95"/>
      <c r="H23" s="95"/>
      <c r="I23" s="95"/>
      <c r="K23" s="84"/>
    </row>
    <row r="24" spans="1:11" s="75" customFormat="1" ht="11.25">
      <c r="A24" s="54" t="s">
        <v>100</v>
      </c>
      <c r="B24" s="124">
        <f>B23/B11</f>
        <v>0.19423951273912671</v>
      </c>
      <c r="C24" s="124">
        <f>C23/C11</f>
        <v>0.20412699401309489</v>
      </c>
      <c r="D24" s="125">
        <f>D23/D11</f>
        <v>0.25227692307692307</v>
      </c>
      <c r="E24" s="124"/>
      <c r="F24" s="124"/>
      <c r="G24" s="124"/>
      <c r="H24" s="124"/>
      <c r="I24" s="124"/>
      <c r="K24" s="123"/>
    </row>
    <row r="25" spans="1:11" s="75" customFormat="1" ht="11.25">
      <c r="A25" s="54" t="s">
        <v>67</v>
      </c>
      <c r="B25" s="124"/>
      <c r="C25" s="124">
        <f>(C23/B23)-1</f>
        <v>0.44747156895219176</v>
      </c>
      <c r="D25" s="125">
        <f>(D23/C23)-1</f>
        <v>0.56353095978184187</v>
      </c>
      <c r="E25" s="124"/>
      <c r="F25" s="124"/>
      <c r="G25" s="124"/>
      <c r="H25" s="124"/>
      <c r="I25" s="124"/>
      <c r="K25" s="123"/>
    </row>
    <row r="26" spans="1:11">
      <c r="A26" s="54"/>
      <c r="B26" s="102"/>
      <c r="C26" s="102"/>
      <c r="D26" s="86"/>
      <c r="E26" s="76"/>
      <c r="F26" s="76"/>
      <c r="G26" s="76"/>
      <c r="H26" s="76"/>
      <c r="I26" s="76"/>
      <c r="K26" s="84"/>
    </row>
    <row r="27" spans="1:11">
      <c r="D27" s="89"/>
    </row>
    <row r="28" spans="1:11">
      <c r="A28" s="17" t="s">
        <v>103</v>
      </c>
    </row>
    <row r="29" spans="1:11">
      <c r="A29" s="75" t="s">
        <v>104</v>
      </c>
    </row>
    <row r="32" spans="1:11">
      <c r="A32" s="43" t="s">
        <v>108</v>
      </c>
      <c r="B32" s="76">
        <v>0.13500000000000001</v>
      </c>
    </row>
    <row r="33" spans="1:2">
      <c r="A33" s="43" t="s">
        <v>109</v>
      </c>
      <c r="B33" s="76">
        <v>0.06</v>
      </c>
    </row>
  </sheetData>
  <customSheetViews>
    <customSheetView guid="{7F174012-B49F-11D3-9CA8-00C04FB61851}" showRuler="0">
      <pane xSplit="1" ySplit="4" topLeftCell="B22" activePane="bottomRight" state="frozen"/>
      <selection pane="bottomRight" activeCell="A51" sqref="A51"/>
      <pageMargins left="0.70000000000000007" right="0" top="1" bottom="1" header="0.5" footer="0.5"/>
      <pageSetup orientation="portrait" r:id="rId1"/>
      <headerFooter alignWithMargins="0"/>
    </customSheetView>
  </customSheetViews>
  <phoneticPr fontId="0" type="noConversion"/>
  <pageMargins left="0.70000000000000007" right="0" top="1" bottom="1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1</vt:lpstr>
      <vt:lpstr>Exhibit 2</vt:lpstr>
      <vt:lpstr>Exhibit 3</vt:lpstr>
      <vt:lpstr>Exhibit 6</vt:lpstr>
      <vt:lpstr>Exhibit 7</vt:lpstr>
      <vt:lpstr>Exhibit 8</vt:lpstr>
    </vt:vector>
  </TitlesOfParts>
  <Company>Kellogg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A. Petersen</dc:creator>
  <cp:lastModifiedBy>petersen</cp:lastModifiedBy>
  <cp:lastPrinted>2000-04-05T19:19:51Z</cp:lastPrinted>
  <dcterms:created xsi:type="dcterms:W3CDTF">1999-12-16T15:39:29Z</dcterms:created>
  <dcterms:modified xsi:type="dcterms:W3CDTF">2011-10-01T22:10:05Z</dcterms:modified>
</cp:coreProperties>
</file>